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0EAD7925-C535-4BA0-A73A-8DDAB2674EB5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Appendix A" sheetId="20" r:id="rId1"/>
    <sheet name="North America" sheetId="1" r:id="rId2"/>
    <sheet name="Europe" sheetId="16" r:id="rId3"/>
    <sheet name="Asia" sheetId="17" r:id="rId4"/>
    <sheet name="Global" sheetId="18" r:id="rId5"/>
    <sheet name="Appendix B" sheetId="19" r:id="rId6"/>
    <sheet name="Canada Subset" sheetId="5" r:id="rId7"/>
    <sheet name="North America - Without Canada" sheetId="23" r:id="rId8"/>
    <sheet name="9 US Cohorts" sheetId="7" r:id="rId9"/>
    <sheet name="8 US Cohorts" sheetId="12" r:id="rId10"/>
    <sheet name="8 US Cohorts LastFU" sheetId="14" r:id="rId11"/>
    <sheet name="8 US Cohorts LastFU Rean" sheetId="25" r:id="rId12"/>
    <sheet name="6 CA Cohorts" sheetId="9" r:id="rId13"/>
    <sheet name="US Cohort Info" sheetId="24" r:id="rId14"/>
  </sheets>
  <definedNames>
    <definedName name="_xlnm.Print_Area" localSheetId="12">'6 CA Cohorts'!$A$1:$O$29</definedName>
    <definedName name="_xlnm.Print_Area" localSheetId="9">'8 US Cohorts'!$A$1:$O$32</definedName>
    <definedName name="_xlnm.Print_Area" localSheetId="10">'8 US Cohorts LastFU'!$A$1:$O$31</definedName>
    <definedName name="_xlnm.Print_Area" localSheetId="11">'8 US Cohorts LastFU Rean'!$A$1:$O$31</definedName>
    <definedName name="_xlnm.Print_Area" localSheetId="8">'9 US Cohorts'!$A$1:$O$35</definedName>
    <definedName name="_xlnm.Print_Area" localSheetId="0">'Appendix A'!$A$1:$J$32</definedName>
    <definedName name="_xlnm.Print_Area" localSheetId="5">'Appendix B'!$A$1:$J$32</definedName>
    <definedName name="_xlnm.Print_Area" localSheetId="3">Asia!$A$1:$M$26</definedName>
    <definedName name="_xlnm.Print_Area" localSheetId="6">'Canada Subset'!$A$1:$M$28</definedName>
    <definedName name="_xlnm.Print_Area" localSheetId="2">Europe!$A$1:$M$28</definedName>
    <definedName name="_xlnm.Print_Area" localSheetId="4">Global!$A$1:$M$47</definedName>
    <definedName name="_xlnm.Print_Area" localSheetId="1">'North America'!$A$1:$M$37</definedName>
    <definedName name="_xlnm.Print_Area" localSheetId="7">'North America - Without Canada'!$A$1:$M$33</definedName>
    <definedName name="_xlnm.Print_Area" localSheetId="13">'US Cohort Info'!$A$1:$G$28</definedName>
  </definedNames>
  <calcPr calcId="162913"/>
</workbook>
</file>

<file path=xl/calcChain.xml><?xml version="1.0" encoding="utf-8"?>
<calcChain xmlns="http://schemas.openxmlformats.org/spreadsheetml/2006/main">
  <c r="M27" i="25" l="1"/>
  <c r="J22" i="25"/>
  <c r="K22" i="25" s="1"/>
  <c r="M22" i="25" s="1"/>
  <c r="I22" i="25"/>
  <c r="L22" i="25" s="1"/>
  <c r="J21" i="25"/>
  <c r="K21" i="25" s="1"/>
  <c r="I21" i="25"/>
  <c r="J20" i="25"/>
  <c r="K20" i="25" s="1"/>
  <c r="M20" i="25" s="1"/>
  <c r="I20" i="25"/>
  <c r="J19" i="25"/>
  <c r="K19" i="25" s="1"/>
  <c r="I19" i="25"/>
  <c r="J18" i="25"/>
  <c r="K18" i="25" s="1"/>
  <c r="M18" i="25" s="1"/>
  <c r="I18" i="25"/>
  <c r="L18" i="25" s="1"/>
  <c r="J17" i="25"/>
  <c r="K17" i="25" s="1"/>
  <c r="I17" i="25"/>
  <c r="J16" i="25"/>
  <c r="K16" i="25" s="1"/>
  <c r="M16" i="25" s="1"/>
  <c r="I16" i="25"/>
  <c r="J15" i="25"/>
  <c r="K15" i="25" s="1"/>
  <c r="I15" i="25"/>
  <c r="M21" i="25" l="1"/>
  <c r="L21" i="25"/>
  <c r="J23" i="25"/>
  <c r="M15" i="25"/>
  <c r="I23" i="25"/>
  <c r="L15" i="25"/>
  <c r="M17" i="25"/>
  <c r="L17" i="25"/>
  <c r="M26" i="25" s="1"/>
  <c r="M28" i="25" s="1"/>
  <c r="M19" i="25"/>
  <c r="L19" i="25"/>
  <c r="L16" i="25"/>
  <c r="L20" i="25"/>
  <c r="M29" i="25" l="1"/>
  <c r="M30" i="25" s="1"/>
  <c r="E23" i="25"/>
  <c r="D27" i="25"/>
  <c r="G23" i="25"/>
  <c r="F23" i="25"/>
  <c r="N19" i="25" l="1"/>
  <c r="O19" i="25" s="1"/>
  <c r="N21" i="25"/>
  <c r="O21" i="25" s="1"/>
  <c r="N22" i="25"/>
  <c r="O22" i="25" s="1"/>
  <c r="N15" i="25"/>
  <c r="O15" i="25" s="1"/>
  <c r="J24" i="25" s="1"/>
  <c r="N16" i="25"/>
  <c r="O16" i="25" s="1"/>
  <c r="N17" i="25"/>
  <c r="O17" i="25" s="1"/>
  <c r="N20" i="25"/>
  <c r="O20" i="25" s="1"/>
  <c r="N18" i="25"/>
  <c r="O18" i="25" s="1"/>
  <c r="E27" i="25"/>
  <c r="D31" i="25"/>
  <c r="I24" i="25"/>
  <c r="G24" i="25" l="1"/>
  <c r="F24" i="25"/>
  <c r="E24" i="25"/>
  <c r="K29" i="23" l="1"/>
  <c r="H24" i="23"/>
  <c r="I24" i="23" s="1"/>
  <c r="K24" i="23" s="1"/>
  <c r="G24" i="23"/>
  <c r="H23" i="23"/>
  <c r="I23" i="23" s="1"/>
  <c r="G23" i="23"/>
  <c r="H22" i="23"/>
  <c r="I22" i="23" s="1"/>
  <c r="K22" i="23" s="1"/>
  <c r="G22" i="23"/>
  <c r="H21" i="23"/>
  <c r="I21" i="23" s="1"/>
  <c r="G21" i="23"/>
  <c r="H20" i="23"/>
  <c r="I20" i="23" s="1"/>
  <c r="K20" i="23" s="1"/>
  <c r="G20" i="23"/>
  <c r="H19" i="23"/>
  <c r="I19" i="23" s="1"/>
  <c r="G19" i="23"/>
  <c r="H18" i="23"/>
  <c r="I18" i="23" s="1"/>
  <c r="K18" i="23" s="1"/>
  <c r="G18" i="23"/>
  <c r="H17" i="23"/>
  <c r="I17" i="23" s="1"/>
  <c r="G17" i="23"/>
  <c r="H16" i="23"/>
  <c r="I16" i="23" s="1"/>
  <c r="K16" i="23" s="1"/>
  <c r="G16" i="23"/>
  <c r="H15" i="23"/>
  <c r="I15" i="23" s="1"/>
  <c r="G15" i="23"/>
  <c r="J16" i="23" l="1"/>
  <c r="J18" i="23"/>
  <c r="J24" i="23"/>
  <c r="J20" i="23"/>
  <c r="J22" i="23"/>
  <c r="K21" i="23"/>
  <c r="J21" i="23"/>
  <c r="K17" i="23"/>
  <c r="J17" i="23"/>
  <c r="H25" i="23"/>
  <c r="K15" i="23"/>
  <c r="J15" i="23"/>
  <c r="K19" i="23"/>
  <c r="J19" i="23"/>
  <c r="K23" i="23"/>
  <c r="J23" i="23"/>
  <c r="G25" i="23"/>
  <c r="K43" i="18"/>
  <c r="H38" i="18"/>
  <c r="I38" i="18" s="1"/>
  <c r="G38" i="18"/>
  <c r="I37" i="18"/>
  <c r="K37" i="18" s="1"/>
  <c r="H37" i="18"/>
  <c r="G37" i="18"/>
  <c r="J37" i="18" s="1"/>
  <c r="H36" i="18"/>
  <c r="I36" i="18" s="1"/>
  <c r="G36" i="18"/>
  <c r="K35" i="18"/>
  <c r="I35" i="18"/>
  <c r="H35" i="18"/>
  <c r="G35" i="18"/>
  <c r="J35" i="18" s="1"/>
  <c r="H34" i="18"/>
  <c r="I34" i="18" s="1"/>
  <c r="G34" i="18"/>
  <c r="I33" i="18"/>
  <c r="K33" i="18" s="1"/>
  <c r="H33" i="18"/>
  <c r="G33" i="18"/>
  <c r="J33" i="18" s="1"/>
  <c r="H32" i="18"/>
  <c r="I32" i="18" s="1"/>
  <c r="G32" i="18"/>
  <c r="K31" i="18"/>
  <c r="I31" i="18"/>
  <c r="H31" i="18"/>
  <c r="G31" i="18"/>
  <c r="J31" i="18" s="1"/>
  <c r="H30" i="18"/>
  <c r="I30" i="18" s="1"/>
  <c r="G30" i="18"/>
  <c r="I29" i="18"/>
  <c r="K29" i="18" s="1"/>
  <c r="H29" i="18"/>
  <c r="G29" i="18"/>
  <c r="J29" i="18" s="1"/>
  <c r="H28" i="18"/>
  <c r="I28" i="18" s="1"/>
  <c r="G28" i="18"/>
  <c r="K27" i="18"/>
  <c r="I27" i="18"/>
  <c r="H27" i="18"/>
  <c r="G27" i="18"/>
  <c r="J27" i="18" s="1"/>
  <c r="H26" i="18"/>
  <c r="I26" i="18" s="1"/>
  <c r="G26" i="18"/>
  <c r="I25" i="18"/>
  <c r="K25" i="18" s="1"/>
  <c r="H25" i="18"/>
  <c r="G25" i="18"/>
  <c r="J25" i="18" s="1"/>
  <c r="H24" i="18"/>
  <c r="I24" i="18" s="1"/>
  <c r="G24" i="18"/>
  <c r="K23" i="18"/>
  <c r="I23" i="18"/>
  <c r="H23" i="18"/>
  <c r="G23" i="18"/>
  <c r="J23" i="18" s="1"/>
  <c r="H22" i="18"/>
  <c r="I22" i="18" s="1"/>
  <c r="G22" i="18"/>
  <c r="I21" i="18"/>
  <c r="K21" i="18" s="1"/>
  <c r="H21" i="18"/>
  <c r="G21" i="18"/>
  <c r="J21" i="18" s="1"/>
  <c r="H20" i="18"/>
  <c r="I20" i="18" s="1"/>
  <c r="G20" i="18"/>
  <c r="I19" i="18"/>
  <c r="K19" i="18" s="1"/>
  <c r="H19" i="18"/>
  <c r="G19" i="18"/>
  <c r="J19" i="18" s="1"/>
  <c r="H18" i="18"/>
  <c r="I18" i="18" s="1"/>
  <c r="G18" i="18"/>
  <c r="K17" i="18"/>
  <c r="I17" i="18"/>
  <c r="H17" i="18"/>
  <c r="G17" i="18"/>
  <c r="J17" i="18" s="1"/>
  <c r="H16" i="18"/>
  <c r="I16" i="18" s="1"/>
  <c r="G16" i="18"/>
  <c r="I15" i="18"/>
  <c r="H39" i="18" s="1"/>
  <c r="H15" i="18"/>
  <c r="G15" i="18"/>
  <c r="K22" i="17"/>
  <c r="H18" i="17"/>
  <c r="J17" i="17"/>
  <c r="H17" i="17"/>
  <c r="I17" i="17" s="1"/>
  <c r="K17" i="17" s="1"/>
  <c r="G17" i="17"/>
  <c r="I16" i="17"/>
  <c r="K16" i="17" s="1"/>
  <c r="H16" i="17"/>
  <c r="G16" i="17"/>
  <c r="J16" i="17" s="1"/>
  <c r="J15" i="17"/>
  <c r="H15" i="17"/>
  <c r="I15" i="17" s="1"/>
  <c r="G15" i="17"/>
  <c r="K24" i="16"/>
  <c r="H19" i="16"/>
  <c r="I19" i="16" s="1"/>
  <c r="K19" i="16" s="1"/>
  <c r="G19" i="16"/>
  <c r="H18" i="16"/>
  <c r="I18" i="16" s="1"/>
  <c r="K18" i="16" s="1"/>
  <c r="G18" i="16"/>
  <c r="J18" i="16" s="1"/>
  <c r="I17" i="16"/>
  <c r="K17" i="16" s="1"/>
  <c r="H17" i="16"/>
  <c r="G17" i="16"/>
  <c r="H16" i="16"/>
  <c r="I16" i="16" s="1"/>
  <c r="K16" i="16" s="1"/>
  <c r="G16" i="16"/>
  <c r="H15" i="16"/>
  <c r="I15" i="16" s="1"/>
  <c r="G15" i="16"/>
  <c r="H14" i="16"/>
  <c r="I14" i="16" s="1"/>
  <c r="G14" i="16"/>
  <c r="K15" i="16" l="1"/>
  <c r="G20" i="16"/>
  <c r="B24" i="16" s="1"/>
  <c r="C24" i="16" s="1"/>
  <c r="J15" i="16"/>
  <c r="J17" i="16"/>
  <c r="K28" i="23"/>
  <c r="K30" i="23" s="1"/>
  <c r="K31" i="23"/>
  <c r="D25" i="23"/>
  <c r="C25" i="23"/>
  <c r="E25" i="23"/>
  <c r="B29" i="23"/>
  <c r="B22" i="17"/>
  <c r="K18" i="18"/>
  <c r="J18" i="18"/>
  <c r="K14" i="16"/>
  <c r="K26" i="16" s="1"/>
  <c r="H20" i="16"/>
  <c r="K15" i="17"/>
  <c r="K24" i="17" s="1"/>
  <c r="K21" i="17"/>
  <c r="K23" i="17" s="1"/>
  <c r="K20" i="18"/>
  <c r="J20" i="18"/>
  <c r="K26" i="18"/>
  <c r="J26" i="18"/>
  <c r="K36" i="18"/>
  <c r="J36" i="18"/>
  <c r="K24" i="18"/>
  <c r="J24" i="18"/>
  <c r="K30" i="18"/>
  <c r="J30" i="18"/>
  <c r="J19" i="16"/>
  <c r="B43" i="18"/>
  <c r="K16" i="18"/>
  <c r="J16" i="18"/>
  <c r="K22" i="18"/>
  <c r="J22" i="18"/>
  <c r="K32" i="18"/>
  <c r="J32" i="18"/>
  <c r="K38" i="18"/>
  <c r="J38" i="18"/>
  <c r="J14" i="16"/>
  <c r="J16" i="16"/>
  <c r="K28" i="18"/>
  <c r="J28" i="18"/>
  <c r="K34" i="18"/>
  <c r="J34" i="18"/>
  <c r="J15" i="18"/>
  <c r="K42" i="18" s="1"/>
  <c r="K44" i="18" s="1"/>
  <c r="G39" i="18"/>
  <c r="K15" i="18"/>
  <c r="K45" i="18" s="1"/>
  <c r="G18" i="17"/>
  <c r="K23" i="16" l="1"/>
  <c r="K25" i="16" s="1"/>
  <c r="K27" i="16" s="1"/>
  <c r="L19" i="16" s="1"/>
  <c r="M19" i="16" s="1"/>
  <c r="E20" i="16"/>
  <c r="B28" i="16"/>
  <c r="C20" i="16"/>
  <c r="D20" i="16"/>
  <c r="K32" i="23"/>
  <c r="L20" i="23"/>
  <c r="M20" i="23" s="1"/>
  <c r="L15" i="23"/>
  <c r="M15" i="23" s="1"/>
  <c r="L23" i="23"/>
  <c r="M23" i="23" s="1"/>
  <c r="L19" i="23"/>
  <c r="M19" i="23" s="1"/>
  <c r="L16" i="23"/>
  <c r="M16" i="23" s="1"/>
  <c r="L18" i="23"/>
  <c r="M18" i="23" s="1"/>
  <c r="L17" i="23"/>
  <c r="M17" i="23" s="1"/>
  <c r="L24" i="23"/>
  <c r="M24" i="23" s="1"/>
  <c r="L22" i="23"/>
  <c r="M22" i="23" s="1"/>
  <c r="L21" i="23"/>
  <c r="M21" i="23" s="1"/>
  <c r="B33" i="23"/>
  <c r="C29" i="23"/>
  <c r="L16" i="16"/>
  <c r="M16" i="16" s="1"/>
  <c r="L17" i="16"/>
  <c r="M17" i="16" s="1"/>
  <c r="L14" i="16"/>
  <c r="M14" i="16" s="1"/>
  <c r="K46" i="18"/>
  <c r="B26" i="17"/>
  <c r="C22" i="17"/>
  <c r="E18" i="17"/>
  <c r="D18" i="17"/>
  <c r="C18" i="17"/>
  <c r="B47" i="18"/>
  <c r="C43" i="18"/>
  <c r="D39" i="18"/>
  <c r="C39" i="18"/>
  <c r="E39" i="18"/>
  <c r="K25" i="17"/>
  <c r="L15" i="16" l="1"/>
  <c r="M15" i="16" s="1"/>
  <c r="L18" i="16"/>
  <c r="M18" i="16" s="1"/>
  <c r="H21" i="16" s="1"/>
  <c r="H26" i="23"/>
  <c r="G26" i="23"/>
  <c r="L21" i="18"/>
  <c r="M21" i="18" s="1"/>
  <c r="L22" i="18"/>
  <c r="M22" i="18" s="1"/>
  <c r="L38" i="18"/>
  <c r="M38" i="18" s="1"/>
  <c r="L24" i="18"/>
  <c r="M24" i="18" s="1"/>
  <c r="L32" i="18"/>
  <c r="M32" i="18" s="1"/>
  <c r="L35" i="18"/>
  <c r="M35" i="18" s="1"/>
  <c r="L33" i="18"/>
  <c r="M33" i="18" s="1"/>
  <c r="L25" i="18"/>
  <c r="M25" i="18" s="1"/>
  <c r="L27" i="18"/>
  <c r="M27" i="18" s="1"/>
  <c r="L26" i="18"/>
  <c r="M26" i="18" s="1"/>
  <c r="L36" i="18"/>
  <c r="M36" i="18" s="1"/>
  <c r="L29" i="18"/>
  <c r="M29" i="18" s="1"/>
  <c r="L17" i="18"/>
  <c r="M17" i="18" s="1"/>
  <c r="L19" i="18"/>
  <c r="M19" i="18" s="1"/>
  <c r="L31" i="18"/>
  <c r="M31" i="18" s="1"/>
  <c r="L37" i="18"/>
  <c r="M37" i="18" s="1"/>
  <c r="L30" i="18"/>
  <c r="M30" i="18" s="1"/>
  <c r="L16" i="18"/>
  <c r="M16" i="18" s="1"/>
  <c r="L15" i="18"/>
  <c r="M15" i="18" s="1"/>
  <c r="L18" i="18"/>
  <c r="M18" i="18" s="1"/>
  <c r="L34" i="18"/>
  <c r="M34" i="18" s="1"/>
  <c r="L20" i="18"/>
  <c r="M20" i="18" s="1"/>
  <c r="L28" i="18"/>
  <c r="M28" i="18" s="1"/>
  <c r="L23" i="18"/>
  <c r="M23" i="18" s="1"/>
  <c r="G21" i="16"/>
  <c r="L16" i="17"/>
  <c r="M16" i="17" s="1"/>
  <c r="L15" i="17"/>
  <c r="M15" i="17" s="1"/>
  <c r="L17" i="17"/>
  <c r="M17" i="17" s="1"/>
  <c r="C26" i="23" l="1"/>
  <c r="E26" i="23"/>
  <c r="D26" i="23"/>
  <c r="H19" i="17"/>
  <c r="G19" i="17"/>
  <c r="H40" i="18"/>
  <c r="G40" i="18"/>
  <c r="D21" i="16"/>
  <c r="E21" i="16"/>
  <c r="C21" i="16"/>
  <c r="C40" i="18" l="1"/>
  <c r="E40" i="18"/>
  <c r="D40" i="18"/>
  <c r="E19" i="17"/>
  <c r="D19" i="17"/>
  <c r="C19" i="17"/>
  <c r="J17" i="7" l="1"/>
  <c r="K17" i="7" s="1"/>
  <c r="I17" i="7"/>
  <c r="J18" i="7"/>
  <c r="K18" i="7" s="1"/>
  <c r="I18" i="7"/>
  <c r="M17" i="7" l="1"/>
  <c r="L17" i="7"/>
  <c r="M18" i="7"/>
  <c r="L18" i="7"/>
  <c r="M27" i="14" l="1"/>
  <c r="J22" i="14"/>
  <c r="K22" i="14" s="1"/>
  <c r="M22" i="14" s="1"/>
  <c r="I22" i="14"/>
  <c r="J21" i="14"/>
  <c r="I21" i="14"/>
  <c r="J20" i="14"/>
  <c r="K20" i="14" s="1"/>
  <c r="L20" i="14" s="1"/>
  <c r="I20" i="14"/>
  <c r="J19" i="14"/>
  <c r="K19" i="14" s="1"/>
  <c r="I19" i="14"/>
  <c r="J18" i="14"/>
  <c r="K18" i="14" s="1"/>
  <c r="M18" i="14" s="1"/>
  <c r="I18" i="14"/>
  <c r="J17" i="14"/>
  <c r="I17" i="14"/>
  <c r="J16" i="14"/>
  <c r="K16" i="14" s="1"/>
  <c r="M16" i="14" s="1"/>
  <c r="I16" i="14"/>
  <c r="J15" i="14"/>
  <c r="K15" i="14" s="1"/>
  <c r="I15" i="14"/>
  <c r="M28" i="12"/>
  <c r="J23" i="12"/>
  <c r="K23" i="12" s="1"/>
  <c r="I23" i="12"/>
  <c r="J22" i="12"/>
  <c r="K22" i="12" s="1"/>
  <c r="M22" i="12" s="1"/>
  <c r="I22" i="12"/>
  <c r="J21" i="12"/>
  <c r="K21" i="12" s="1"/>
  <c r="I21" i="12"/>
  <c r="J20" i="12"/>
  <c r="K20" i="12" s="1"/>
  <c r="M20" i="12" s="1"/>
  <c r="I20" i="12"/>
  <c r="J19" i="12"/>
  <c r="K19" i="12" s="1"/>
  <c r="I19" i="12"/>
  <c r="J18" i="12"/>
  <c r="K18" i="12" s="1"/>
  <c r="M18" i="12" s="1"/>
  <c r="I18" i="12"/>
  <c r="J17" i="12"/>
  <c r="K17" i="12" s="1"/>
  <c r="I17" i="12"/>
  <c r="J16" i="12"/>
  <c r="K16" i="12" s="1"/>
  <c r="I16" i="12"/>
  <c r="M25" i="9"/>
  <c r="J20" i="9"/>
  <c r="K20" i="9" s="1"/>
  <c r="I20" i="9"/>
  <c r="J19" i="9"/>
  <c r="K19" i="9" s="1"/>
  <c r="M19" i="9" s="1"/>
  <c r="I19" i="9"/>
  <c r="J18" i="9"/>
  <c r="I18" i="9"/>
  <c r="J17" i="9"/>
  <c r="K17" i="9" s="1"/>
  <c r="M17" i="9" s="1"/>
  <c r="I17" i="9"/>
  <c r="L17" i="9" s="1"/>
  <c r="J16" i="9"/>
  <c r="K16" i="9" s="1"/>
  <c r="I16" i="9"/>
  <c r="J15" i="9"/>
  <c r="K15" i="9" s="1"/>
  <c r="I15" i="9"/>
  <c r="M31" i="7"/>
  <c r="J26" i="7"/>
  <c r="K26" i="7" s="1"/>
  <c r="I26" i="7"/>
  <c r="J25" i="7"/>
  <c r="K25" i="7" s="1"/>
  <c r="M25" i="7" s="1"/>
  <c r="I25" i="7"/>
  <c r="J24" i="7"/>
  <c r="I24" i="7"/>
  <c r="J23" i="7"/>
  <c r="K23" i="7" s="1"/>
  <c r="M23" i="7" s="1"/>
  <c r="I23" i="7"/>
  <c r="J22" i="7"/>
  <c r="K22" i="7" s="1"/>
  <c r="I22" i="7"/>
  <c r="J21" i="7"/>
  <c r="K21" i="7" s="1"/>
  <c r="I21" i="7"/>
  <c r="J20" i="7"/>
  <c r="K20" i="7" s="1"/>
  <c r="I20" i="7"/>
  <c r="J19" i="7"/>
  <c r="K19" i="7" s="1"/>
  <c r="M19" i="7" s="1"/>
  <c r="I19" i="7"/>
  <c r="J16" i="7"/>
  <c r="K16" i="7" s="1"/>
  <c r="I16" i="7"/>
  <c r="G16" i="5"/>
  <c r="H16" i="5"/>
  <c r="I16" i="5" s="1"/>
  <c r="K24" i="5"/>
  <c r="H19" i="5"/>
  <c r="G19" i="5"/>
  <c r="H18" i="5"/>
  <c r="I18" i="5" s="1"/>
  <c r="K18" i="5" s="1"/>
  <c r="G18" i="5"/>
  <c r="H17" i="5"/>
  <c r="I17" i="5" s="1"/>
  <c r="G17" i="5"/>
  <c r="H15" i="5"/>
  <c r="I15" i="5" s="1"/>
  <c r="G15" i="5"/>
  <c r="L15" i="14" l="1"/>
  <c r="L18" i="14"/>
  <c r="L22" i="14"/>
  <c r="L19" i="14"/>
  <c r="M20" i="14"/>
  <c r="L18" i="12"/>
  <c r="L16" i="14"/>
  <c r="M15" i="14"/>
  <c r="K17" i="14"/>
  <c r="M17" i="14" s="1"/>
  <c r="M19" i="14"/>
  <c r="K21" i="14"/>
  <c r="M21" i="14" s="1"/>
  <c r="M17" i="12"/>
  <c r="L17" i="12"/>
  <c r="M21" i="12"/>
  <c r="L21" i="12"/>
  <c r="M23" i="12"/>
  <c r="L23" i="12"/>
  <c r="M19" i="12"/>
  <c r="L19" i="12"/>
  <c r="J24" i="12"/>
  <c r="L22" i="12"/>
  <c r="L16" i="12"/>
  <c r="L20" i="12"/>
  <c r="I24" i="12"/>
  <c r="M16" i="12"/>
  <c r="L19" i="9"/>
  <c r="L16" i="9"/>
  <c r="M16" i="9"/>
  <c r="L20" i="9"/>
  <c r="M20" i="9"/>
  <c r="L15" i="9"/>
  <c r="K18" i="9"/>
  <c r="M18" i="9" s="1"/>
  <c r="I21" i="9"/>
  <c r="D25" i="9" s="1"/>
  <c r="M15" i="9"/>
  <c r="L19" i="7"/>
  <c r="L21" i="7"/>
  <c r="L23" i="7"/>
  <c r="M26" i="7"/>
  <c r="L26" i="7"/>
  <c r="M22" i="7"/>
  <c r="L22" i="7"/>
  <c r="M16" i="7"/>
  <c r="L16" i="7"/>
  <c r="M20" i="7"/>
  <c r="L20" i="7"/>
  <c r="K24" i="7"/>
  <c r="L25" i="7"/>
  <c r="M21" i="7"/>
  <c r="K16" i="5"/>
  <c r="J16" i="5"/>
  <c r="J18" i="5"/>
  <c r="J17" i="5"/>
  <c r="K17" i="5"/>
  <c r="K15" i="5"/>
  <c r="J15" i="5"/>
  <c r="I19" i="5"/>
  <c r="L21" i="14" l="1"/>
  <c r="M30" i="12"/>
  <c r="J23" i="14"/>
  <c r="I23" i="14"/>
  <c r="M29" i="14"/>
  <c r="L17" i="14"/>
  <c r="M26" i="14" s="1"/>
  <c r="M28" i="14" s="1"/>
  <c r="M30" i="14" s="1"/>
  <c r="M27" i="12"/>
  <c r="M29" i="12" s="1"/>
  <c r="F24" i="12"/>
  <c r="E24" i="12"/>
  <c r="D28" i="12"/>
  <c r="G24" i="12"/>
  <c r="D29" i="9"/>
  <c r="E25" i="9"/>
  <c r="M27" i="9"/>
  <c r="J21" i="9"/>
  <c r="F21" i="9" s="1"/>
  <c r="L18" i="9"/>
  <c r="M24" i="9" s="1"/>
  <c r="M26" i="9" s="1"/>
  <c r="E21" i="9"/>
  <c r="I27" i="7"/>
  <c r="D31" i="7" s="1"/>
  <c r="M24" i="7"/>
  <c r="L24" i="7"/>
  <c r="J27" i="7"/>
  <c r="K19" i="5"/>
  <c r="K26" i="5" s="1"/>
  <c r="J19" i="5"/>
  <c r="K23" i="5" s="1"/>
  <c r="K25" i="5" s="1"/>
  <c r="G20" i="5"/>
  <c r="H20" i="5"/>
  <c r="G21" i="1"/>
  <c r="H21" i="1"/>
  <c r="K33" i="1"/>
  <c r="M31" i="12" l="1"/>
  <c r="N19" i="12" s="1"/>
  <c r="O19" i="12" s="1"/>
  <c r="N15" i="14"/>
  <c r="O15" i="14" s="1"/>
  <c r="N20" i="14"/>
  <c r="O20" i="14" s="1"/>
  <c r="N19" i="14"/>
  <c r="O19" i="14" s="1"/>
  <c r="N16" i="14"/>
  <c r="O16" i="14" s="1"/>
  <c r="N17" i="14"/>
  <c r="O17" i="14" s="1"/>
  <c r="N22" i="14"/>
  <c r="O22" i="14" s="1"/>
  <c r="N21" i="14"/>
  <c r="O21" i="14" s="1"/>
  <c r="N18" i="14"/>
  <c r="O18" i="14" s="1"/>
  <c r="F23" i="14"/>
  <c r="D27" i="14"/>
  <c r="G23" i="14"/>
  <c r="E23" i="14"/>
  <c r="N17" i="12"/>
  <c r="O17" i="12" s="1"/>
  <c r="N23" i="12"/>
  <c r="O23" i="12" s="1"/>
  <c r="N18" i="12"/>
  <c r="O18" i="12" s="1"/>
  <c r="N16" i="12"/>
  <c r="O16" i="12" s="1"/>
  <c r="N22" i="12"/>
  <c r="O22" i="12" s="1"/>
  <c r="D32" i="12"/>
  <c r="E28" i="12"/>
  <c r="G21" i="9"/>
  <c r="M28" i="9"/>
  <c r="N16" i="9" s="1"/>
  <c r="O16" i="9" s="1"/>
  <c r="N19" i="9"/>
  <c r="O19" i="9" s="1"/>
  <c r="N18" i="9"/>
  <c r="O18" i="9" s="1"/>
  <c r="F27" i="7"/>
  <c r="E27" i="7"/>
  <c r="G27" i="7"/>
  <c r="M33" i="7"/>
  <c r="D35" i="7"/>
  <c r="E31" i="7"/>
  <c r="M30" i="7"/>
  <c r="M32" i="7" s="1"/>
  <c r="K27" i="5"/>
  <c r="L16" i="5"/>
  <c r="M16" i="5" s="1"/>
  <c r="L15" i="5"/>
  <c r="M15" i="5" s="1"/>
  <c r="L19" i="5"/>
  <c r="M19" i="5" s="1"/>
  <c r="L18" i="5"/>
  <c r="M18" i="5" s="1"/>
  <c r="L17" i="5"/>
  <c r="M17" i="5" s="1"/>
  <c r="D20" i="5"/>
  <c r="E20" i="5"/>
  <c r="C20" i="5"/>
  <c r="B24" i="5"/>
  <c r="I21" i="1"/>
  <c r="H15" i="1"/>
  <c r="I15" i="1" s="1"/>
  <c r="H16" i="1"/>
  <c r="I16" i="1" s="1"/>
  <c r="H17" i="1"/>
  <c r="H18" i="1"/>
  <c r="H19" i="1"/>
  <c r="H20" i="1"/>
  <c r="H22" i="1"/>
  <c r="H23" i="1"/>
  <c r="I23" i="1" s="1"/>
  <c r="H24" i="1"/>
  <c r="I24" i="1" s="1"/>
  <c r="H25" i="1"/>
  <c r="H26" i="1"/>
  <c r="H27" i="1"/>
  <c r="H28" i="1"/>
  <c r="H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14" i="1"/>
  <c r="N15" i="9" l="1"/>
  <c r="O15" i="9" s="1"/>
  <c r="N20" i="12"/>
  <c r="O20" i="12" s="1"/>
  <c r="N21" i="12"/>
  <c r="O21" i="12" s="1"/>
  <c r="D31" i="14"/>
  <c r="E27" i="14"/>
  <c r="J24" i="14"/>
  <c r="I24" i="14"/>
  <c r="N17" i="9"/>
  <c r="O17" i="9" s="1"/>
  <c r="N20" i="9"/>
  <c r="O20" i="9" s="1"/>
  <c r="J22" i="9" s="1"/>
  <c r="I22" i="9"/>
  <c r="M34" i="7"/>
  <c r="N17" i="7" s="1"/>
  <c r="O17" i="7" s="1"/>
  <c r="B28" i="5"/>
  <c r="C24" i="5"/>
  <c r="H21" i="5"/>
  <c r="G21" i="5"/>
  <c r="K21" i="1"/>
  <c r="J21" i="1"/>
  <c r="I26" i="1"/>
  <c r="J26" i="1" s="1"/>
  <c r="I22" i="1"/>
  <c r="J22" i="1" s="1"/>
  <c r="I14" i="1"/>
  <c r="I28" i="1"/>
  <c r="I19" i="1"/>
  <c r="I17" i="1"/>
  <c r="K17" i="1" s="1"/>
  <c r="I20" i="1"/>
  <c r="J20" i="1" s="1"/>
  <c r="I27" i="1"/>
  <c r="J27" i="1" s="1"/>
  <c r="I18" i="1"/>
  <c r="I25" i="1"/>
  <c r="K23" i="1"/>
  <c r="J24" i="1"/>
  <c r="J16" i="1"/>
  <c r="K24" i="1"/>
  <c r="K16" i="1"/>
  <c r="J23" i="1"/>
  <c r="J15" i="1"/>
  <c r="K15" i="1"/>
  <c r="J25" i="12" l="1"/>
  <c r="I25" i="12"/>
  <c r="E25" i="12" s="1"/>
  <c r="N24" i="7"/>
  <c r="O24" i="7" s="1"/>
  <c r="N18" i="7"/>
  <c r="O18" i="7" s="1"/>
  <c r="N16" i="7"/>
  <c r="O16" i="7" s="1"/>
  <c r="N19" i="7"/>
  <c r="O19" i="7" s="1"/>
  <c r="N26" i="7"/>
  <c r="O26" i="7" s="1"/>
  <c r="N22" i="7"/>
  <c r="O22" i="7" s="1"/>
  <c r="E24" i="14"/>
  <c r="F24" i="14"/>
  <c r="G24" i="14"/>
  <c r="E22" i="9"/>
  <c r="F22" i="9"/>
  <c r="G22" i="9"/>
  <c r="N20" i="7"/>
  <c r="O20" i="7" s="1"/>
  <c r="N23" i="7"/>
  <c r="O23" i="7" s="1"/>
  <c r="N21" i="7"/>
  <c r="O21" i="7" s="1"/>
  <c r="N25" i="7"/>
  <c r="O25" i="7" s="1"/>
  <c r="C21" i="5"/>
  <c r="D21" i="5"/>
  <c r="E21" i="5"/>
  <c r="K14" i="1"/>
  <c r="J25" i="1"/>
  <c r="J17" i="1"/>
  <c r="K20" i="1"/>
  <c r="K22" i="1"/>
  <c r="K18" i="1"/>
  <c r="J18" i="1"/>
  <c r="J19" i="1"/>
  <c r="J28" i="1"/>
  <c r="K25" i="1"/>
  <c r="H29" i="1"/>
  <c r="K28" i="1"/>
  <c r="J14" i="1"/>
  <c r="K27" i="1"/>
  <c r="K26" i="1"/>
  <c r="K19" i="1"/>
  <c r="G29" i="1"/>
  <c r="F25" i="12" l="1"/>
  <c r="G25" i="12"/>
  <c r="J28" i="7"/>
  <c r="I28" i="7"/>
  <c r="F28" i="7" s="1"/>
  <c r="K35" i="1"/>
  <c r="K32" i="1"/>
  <c r="K34" i="1" s="1"/>
  <c r="K36" i="1" s="1"/>
  <c r="L21" i="1" s="1"/>
  <c r="M21" i="1" s="1"/>
  <c r="C29" i="1"/>
  <c r="E29" i="1"/>
  <c r="D29" i="1"/>
  <c r="B33" i="1"/>
  <c r="B37" i="1" s="1"/>
  <c r="G28" i="7" l="1"/>
  <c r="E28" i="7"/>
  <c r="C33" i="1"/>
  <c r="L28" i="1"/>
  <c r="M28" i="1" s="1"/>
  <c r="L15" i="1"/>
  <c r="M15" i="1" s="1"/>
  <c r="L24" i="1"/>
  <c r="M24" i="1" s="1"/>
  <c r="L23" i="1"/>
  <c r="M23" i="1" s="1"/>
  <c r="L17" i="1"/>
  <c r="M17" i="1" s="1"/>
  <c r="L18" i="1"/>
  <c r="M18" i="1" s="1"/>
  <c r="L20" i="1"/>
  <c r="M20" i="1" s="1"/>
  <c r="L16" i="1"/>
  <c r="M16" i="1" s="1"/>
  <c r="L14" i="1"/>
  <c r="M14" i="1" s="1"/>
  <c r="L27" i="1"/>
  <c r="M27" i="1" s="1"/>
  <c r="L26" i="1"/>
  <c r="M26" i="1" s="1"/>
  <c r="L22" i="1"/>
  <c r="M22" i="1" s="1"/>
  <c r="L25" i="1"/>
  <c r="M25" i="1" s="1"/>
  <c r="L19" i="1"/>
  <c r="M19" i="1" s="1"/>
  <c r="H30" i="1" l="1"/>
  <c r="G30" i="1"/>
  <c r="D30" i="1" l="1"/>
  <c r="E30" i="1"/>
  <c r="C30" i="1"/>
</calcChain>
</file>

<file path=xl/sharedStrings.xml><?xml version="1.0" encoding="utf-8"?>
<sst xmlns="http://schemas.openxmlformats.org/spreadsheetml/2006/main" count="703" uniqueCount="190">
  <si>
    <t>RR</t>
  </si>
  <si>
    <t>95%CI(L)</t>
  </si>
  <si>
    <t>95%CI(U)</t>
  </si>
  <si>
    <t>Male Health Professionals</t>
  </si>
  <si>
    <t>Agricultural Health Study</t>
  </si>
  <si>
    <t>California Teachers Study</t>
  </si>
  <si>
    <t>AARP Diet and Health</t>
  </si>
  <si>
    <t>National Health Interview Survey</t>
  </si>
  <si>
    <t>American Cancer Society CPS-II</t>
  </si>
  <si>
    <t>AHSMOG</t>
  </si>
  <si>
    <t>MEDICARE</t>
  </si>
  <si>
    <t>Breast Screening</t>
  </si>
  <si>
    <t>Nurses' Health Study</t>
  </si>
  <si>
    <t>Six City Study</t>
  </si>
  <si>
    <t>Community Health Survey</t>
  </si>
  <si>
    <t>Census Health &amp; Environment (1991)</t>
  </si>
  <si>
    <t>Census Health &amp; Environment (2001)</t>
  </si>
  <si>
    <t>Census Health &amp; Environment (1996)</t>
  </si>
  <si>
    <t>Standard Error of Original Coefficients (SE)</t>
  </si>
  <si>
    <t>Log of RR 
(Original Coefficient)</t>
  </si>
  <si>
    <t>Intrepid Insight Fixed Effects Meta-Analysis</t>
  </si>
  <si>
    <t>Relative Risk Results</t>
  </si>
  <si>
    <t>Q Test Statistic</t>
  </si>
  <si>
    <t>ES^2*WT</t>
  </si>
  <si>
    <t>WT^2</t>
  </si>
  <si>
    <t>Variance Total</t>
  </si>
  <si>
    <t>Q</t>
  </si>
  <si>
    <t>Tau^2 Calc</t>
  </si>
  <si>
    <t>df</t>
  </si>
  <si>
    <t>Numerator</t>
  </si>
  <si>
    <t>C</t>
  </si>
  <si>
    <t>Tau^2</t>
  </si>
  <si>
    <t>Intrepid Insight Random Effects Meta-Analysis</t>
  </si>
  <si>
    <t>WT - Random Effects</t>
  </si>
  <si>
    <t>Auxilliary Calculations</t>
  </si>
  <si>
    <t>Weight of Study - Fixed Effects</t>
  </si>
  <si>
    <t>North American Studies</t>
  </si>
  <si>
    <t>I^2</t>
  </si>
  <si>
    <t>P-Value</t>
  </si>
  <si>
    <r>
      <t>Cochrane's Q Test for Homogeneity of Studies
(</t>
    </r>
    <r>
      <rPr>
        <b/>
        <i/>
        <sz val="10"/>
        <rFont val="Arial"/>
        <family val="2"/>
      </rPr>
      <t>Null Hypothesis: Studies are Homogenous)</t>
    </r>
  </si>
  <si>
    <t>Global Cohorts of Ambient Fine Particulate Matter and Non-Accidental Mortality</t>
  </si>
  <si>
    <t>North America</t>
  </si>
  <si>
    <t>Notes</t>
  </si>
  <si>
    <t>1. Hazard ratios, confidence intervals, and studies included were taken from Slide 12 of Richard T. Burnett's presentation at the HEI 2018 Annual Conference (April 30, 2018).</t>
  </si>
  <si>
    <t>2. Methodology for the fixed and random effects meta analysis was derived from this source: https://www.meta-analysis.com/downloads/M-a_f_e_v_r_e_sv.pdf.</t>
  </si>
  <si>
    <t>3. This methodology was confirmed using this second source: https://newonlinecourses.science.psu.edu/stat509/node/143/.</t>
  </si>
  <si>
    <t>4. Logarithms of Reported RRs are taken because this returns them to the original coefficient values from the Cox regression: https://www.statsdirect.com/help/survival_analysis/cox_regression.htm</t>
  </si>
  <si>
    <t>5. The methodology for deriving the standard errors from the confidence intervals was found here: https://handbook-5-1.cochrane.org/chapter_7/7_7_7_2_obtaining_standard_errors_from_confidence_intervals_and.htm</t>
  </si>
  <si>
    <t>6. Formulas for I^2 and Q are found here: https://www.ncbi.nlm.nih.gov/pmc/articles/PMC192859/</t>
  </si>
  <si>
    <t>Canada Studies (Subset Selected by Enstrom)</t>
  </si>
  <si>
    <t>Canada Subset</t>
  </si>
  <si>
    <t>Veterans' Study</t>
  </si>
  <si>
    <t>ACS Cancer Prevention Study II</t>
  </si>
  <si>
    <t>Health Professionals FU Study</t>
  </si>
  <si>
    <t>Harvard Six Cities Study</t>
  </si>
  <si>
    <t>NIH-AAPR Diet and Health Study</t>
  </si>
  <si>
    <t>Medicare (2008) and Medicare (2017) are both omitted</t>
  </si>
  <si>
    <t>Adventist Health Study SMOG</t>
  </si>
  <si>
    <t>CA ACS Cancer Prevention Study I</t>
  </si>
  <si>
    <t>Medicare Air Pollution Cohort Study</t>
  </si>
  <si>
    <t>CA ACS Cancer Prevention Study II</t>
  </si>
  <si>
    <t xml:space="preserve">California Teachers Study </t>
  </si>
  <si>
    <t>CA NIH-AARP Diet and Health Study</t>
  </si>
  <si>
    <t>US Subset 2 Studies</t>
  </si>
  <si>
    <t>US Subset 1 Studies</t>
  </si>
  <si>
    <t>ACS Cancer Prevention Study (CPS II)</t>
  </si>
  <si>
    <t>Vets</t>
  </si>
  <si>
    <t>1986-1996</t>
  </si>
  <si>
    <t>MCAPS</t>
  </si>
  <si>
    <t>2000-2005</t>
  </si>
  <si>
    <t>CPS II</t>
  </si>
  <si>
    <t>HNHS</t>
  </si>
  <si>
    <t>1992-2002</t>
  </si>
  <si>
    <t>HHPS</t>
  </si>
  <si>
    <t>1989-2002</t>
  </si>
  <si>
    <t>H6CS</t>
  </si>
  <si>
    <t>2000-2009</t>
  </si>
  <si>
    <t>AHS</t>
  </si>
  <si>
    <t>1993-2009</t>
  </si>
  <si>
    <t>NIH-AARP</t>
  </si>
  <si>
    <t>NHIS</t>
  </si>
  <si>
    <t>1997-2011</t>
  </si>
  <si>
    <t>Years</t>
  </si>
  <si>
    <t>Acronym</t>
  </si>
  <si>
    <t>CA AHSMOG</t>
  </si>
  <si>
    <t>1977-1992</t>
  </si>
  <si>
    <t>CA CPS I</t>
  </si>
  <si>
    <t>1983-2002</t>
  </si>
  <si>
    <t>MCAPS 'West'</t>
  </si>
  <si>
    <t>CA CPS II</t>
  </si>
  <si>
    <t>1982-2000</t>
  </si>
  <si>
    <t>CA Teachers</t>
  </si>
  <si>
    <t>2001-2007</t>
  </si>
  <si>
    <t>CA NIH-AARP</t>
  </si>
  <si>
    <t>US Subset CA Studies</t>
  </si>
  <si>
    <t>Cohorts of Ambient Fine Particulate Matter and Total Mortality</t>
  </si>
  <si>
    <t>Burnett Meta-Analysis (Methodology Not Provided)</t>
  </si>
  <si>
    <t>US Subset: Nine Cohorts with complete follow-up period as tabulated by Enstrom</t>
  </si>
  <si>
    <t>US Subset: Eight Cohorts with latest follow-up periods for CPS II &amp; H6CS by Enstrom</t>
  </si>
  <si>
    <t>US Subset: Eight Cohorts with complete follow-up periods as tabulated by Enstrom</t>
  </si>
  <si>
    <t>1990-2000</t>
  </si>
  <si>
    <t>Medicare (2008) Eastern</t>
  </si>
  <si>
    <t>Medicare (2008) Central</t>
  </si>
  <si>
    <t>Medicare (2008) Western</t>
  </si>
  <si>
    <t>US Subset: Six California Cohorts as tabulated by James Enstrom</t>
  </si>
  <si>
    <t>1974-2009</t>
  </si>
  <si>
    <t>Medicare (2008) included rather than Medicare (2017), as per October 12, 2017 NEJM Letter by Enstrom</t>
  </si>
  <si>
    <t>Europe</t>
  </si>
  <si>
    <t>European Studies</t>
  </si>
  <si>
    <t>Rome Census Cohort</t>
  </si>
  <si>
    <t>Dutch Study of Diet and Cancer</t>
  </si>
  <si>
    <t>DUELS</t>
  </si>
  <si>
    <t>National Health Interview Surveytional English</t>
  </si>
  <si>
    <t>Escape</t>
  </si>
  <si>
    <t>France</t>
  </si>
  <si>
    <t>Asia</t>
  </si>
  <si>
    <t>Asian Studies</t>
  </si>
  <si>
    <t>Taiwan Civil Servants</t>
  </si>
  <si>
    <t>Chinese Male Cohort</t>
  </si>
  <si>
    <t>Hong Kong</t>
  </si>
  <si>
    <t>Global - "All Cohorts"</t>
  </si>
  <si>
    <t>All Studies</t>
  </si>
  <si>
    <t>Appendix B</t>
  </si>
  <si>
    <t>Appendix A</t>
  </si>
  <si>
    <t>US Cohort Studies</t>
  </si>
  <si>
    <t>FU Years</t>
  </si>
  <si>
    <t>Author Organizations</t>
  </si>
  <si>
    <t>Geographic Location</t>
  </si>
  <si>
    <t>Lipfert &amp; WashU &amp; EPRI</t>
  </si>
  <si>
    <t>32 VA Clinics in 28 States &amp; PR</t>
  </si>
  <si>
    <t>JHU SPH</t>
  </si>
  <si>
    <t>613 Counties in Eastern US States</t>
  </si>
  <si>
    <t>185 Counties in Central US States</t>
  </si>
  <si>
    <t>62 Counties in 3 US States (CA+OR+WA)</t>
  </si>
  <si>
    <t>BYU &amp; ACS &amp; HEI &amp; H TH Chan SPH</t>
  </si>
  <si>
    <t>USoCar SPH &amp; H TH Chan SPH</t>
  </si>
  <si>
    <t>13 NE &amp; MidWestern States (CA Omitted)</t>
  </si>
  <si>
    <t xml:space="preserve">H TH Chan SPH  </t>
  </si>
  <si>
    <t>6 Eastern &amp; MidWestern Cities</t>
  </si>
  <si>
    <t>Health Canada &amp; NIEHS</t>
  </si>
  <si>
    <t>NC &amp; IA</t>
  </si>
  <si>
    <t>NYU &amp; UCB &amp; NCI</t>
  </si>
  <si>
    <t>6 States &amp; 2 Metro Areas</t>
  </si>
  <si>
    <t>NCHS/CDC &amp; NCEH/CDC</t>
  </si>
  <si>
    <t>Representative US Sample</t>
  </si>
  <si>
    <t>North America - Excluding Canadaian Studies</t>
  </si>
  <si>
    <t>Lead Author+Article Year+Journal+RR Table</t>
  </si>
  <si>
    <t>Lipfert 2000 IT Table 6 [see Enstrom 2005 Table 10]</t>
  </si>
  <si>
    <t>Zeger 2008 EHP Table 3</t>
  </si>
  <si>
    <t>50 &amp; 58 US Metro Areas</t>
  </si>
  <si>
    <t>Krewski 2009 HEI Report 140 Table 34</t>
  </si>
  <si>
    <t>ACS CPS II Reanalysis</t>
  </si>
  <si>
    <t>1982-1988</t>
  </si>
  <si>
    <t>UCLA &amp; Scientific Integrity Institute</t>
  </si>
  <si>
    <t>50 &amp; 85 US Counties</t>
  </si>
  <si>
    <t>Enstrom 2017 D-R Table 2</t>
  </si>
  <si>
    <t>Puett 2009 EHP Table 3</t>
  </si>
  <si>
    <t>Puett 2011 EHP Table 2</t>
  </si>
  <si>
    <t>Lepeule 2012 EHP Table 2</t>
  </si>
  <si>
    <t>Weichenthal 2015 EHP Table 2</t>
  </si>
  <si>
    <t>Thurston 2016 EHP Table 2 &amp; Figure 3</t>
  </si>
  <si>
    <t>Parker 2018 Circ Table 3 (corrected)</t>
  </si>
  <si>
    <t>US Subset: CA Cohort Studies</t>
  </si>
  <si>
    <t>LLU &amp; EPA</t>
  </si>
  <si>
    <t>SoCal+SanDiego+SanFran Air Basins</t>
  </si>
  <si>
    <t>McDonnell 2000 JEAEE Table &amp; Text</t>
  </si>
  <si>
    <t>UCLA</t>
  </si>
  <si>
    <t>11 &amp; 25 CA Counties</t>
  </si>
  <si>
    <t>Enstrom 2005 IT Table 7</t>
  </si>
  <si>
    <t>HEI &amp; U Ottawa</t>
  </si>
  <si>
    <t>4 CA Counties</t>
  </si>
  <si>
    <t>HEI Krewski Special Analysis 2010</t>
  </si>
  <si>
    <t>CoH &amp; OEHHA &amp; UCB</t>
  </si>
  <si>
    <t>58 CA Counties</t>
  </si>
  <si>
    <t>Ostro 2015 EHP Table S3</t>
  </si>
  <si>
    <t>US Subset: Eight Cohorts with Enstrom CPS II Reanalysis and latest follow-up periods for H6CS</t>
  </si>
  <si>
    <t>ACS Cancer Prevention Study II Reanalysis (Enstrom)</t>
  </si>
  <si>
    <t>Table B8: Information on Nine US Cohort Studies and Six California Cohort Studies as provided by Enstrom</t>
  </si>
  <si>
    <t>Table B7: Intrepid Insight Computation of Fixed and Random Effects Meta-analysis</t>
  </si>
  <si>
    <t>Table B6: Intrepid Insight Computation of Fixed and Random Effects Meta-analysis</t>
  </si>
  <si>
    <t>Table B5: Intrepid Insight Computation of Fixed and Random Effects Meta-analysis</t>
  </si>
  <si>
    <t>Table B4: Intrepid Insight Computation of Fixed and Random Effects Meta-analysis</t>
  </si>
  <si>
    <t>Table B3: Intrepid Insight Computation of Fixed and Random Effects Meta-analysis</t>
  </si>
  <si>
    <t>Table B2: Intrepid Insight Computation of Fixed and Random Effects Meta-analysis</t>
  </si>
  <si>
    <t>Table B1: Intrepid Insight Computation of Fixed and Random Effects Meta-analysis</t>
  </si>
  <si>
    <t>Table A4: Intrepid Insight Computation of Fixed and Random Effects Meta-analysis</t>
  </si>
  <si>
    <t>Table A3: Intrepid Insight Computation of Fixed and Random Effects Meta-analysis</t>
  </si>
  <si>
    <t>Table A2: Intrepid Insight Computation of Fixed and Random Effects Meta-analysis</t>
  </si>
  <si>
    <t>Table A1: Intrepid Insight Computation of Fixed and Random Effects Meta-analysis</t>
  </si>
  <si>
    <t>1. Cohorts were selected by James Enstrom, and not by Intrepid Insight. Intrepid Insight does not take a position on whether these are methodologically relevant subsets.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</si>
</sst>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0.00000000000000000E+00"/>
    <numFmt numFmtId="167" formatCode="0.0000"/>
  </numFmts>
  <fonts count="12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i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0" xfId="0" applyNumberFormat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1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1" fontId="0" fillId="0" borderId="0" xfId="0" applyNumberFormat="1" applyFill="1"/>
    <xf numFmtId="0" fontId="0" fillId="0" borderId="0" xfId="0" applyNumberFormat="1" applyFill="1"/>
    <xf numFmtId="49" fontId="6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6" xfId="0" applyNumberFormat="1" applyFont="1" applyFill="1" applyBorder="1"/>
    <xf numFmtId="49" fontId="3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1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3" fillId="0" borderId="0" xfId="0" applyNumberFormat="1" applyFont="1" applyFill="1" applyBorder="1" applyAlignment="1">
      <alignment horizontal="center" wrapText="1"/>
    </xf>
    <xf numFmtId="167" fontId="3" fillId="0" borderId="4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Fill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0" fillId="0" borderId="0" xfId="0" applyNumberFormat="1"/>
    <xf numFmtId="167" fontId="0" fillId="0" borderId="0" xfId="0" applyNumberFormat="1" applyFill="1"/>
    <xf numFmtId="167" fontId="3" fillId="0" borderId="0" xfId="0" applyNumberFormat="1" applyFont="1" applyFill="1"/>
    <xf numFmtId="167" fontId="3" fillId="0" borderId="4" xfId="0" applyNumberFormat="1" applyFont="1" applyFill="1" applyBorder="1"/>
    <xf numFmtId="167" fontId="0" fillId="2" borderId="0" xfId="0" applyNumberForma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49" fontId="2" fillId="0" borderId="0" xfId="0" applyNumberFormat="1" applyFo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1"/>
    <xf numFmtId="49" fontId="6" fillId="0" borderId="0" xfId="1" applyNumberFormat="1" applyFont="1" applyAlignment="1">
      <alignment horizontal="center"/>
    </xf>
    <xf numFmtId="1" fontId="2" fillId="0" borderId="0" xfId="1" applyNumberFormat="1"/>
    <xf numFmtId="0" fontId="2" fillId="0" borderId="0" xfId="1" applyNumberFormat="1" applyAlignment="1">
      <alignment horizontal="center"/>
    </xf>
    <xf numFmtId="0" fontId="2" fillId="0" borderId="0" xfId="1" applyNumberFormat="1"/>
    <xf numFmtId="0" fontId="2" fillId="0" borderId="0" xfId="1" applyAlignment="1">
      <alignment horizontal="center"/>
    </xf>
    <xf numFmtId="1" fontId="2" fillId="0" borderId="0" xfId="1" applyNumberFormat="1" applyFill="1"/>
    <xf numFmtId="0" fontId="2" fillId="0" borderId="0" xfId="1" applyNumberFormat="1" applyFill="1" applyAlignment="1">
      <alignment horizontal="center"/>
    </xf>
    <xf numFmtId="0" fontId="2" fillId="0" borderId="0" xfId="1" applyNumberFormat="1" applyFill="1"/>
    <xf numFmtId="49" fontId="2" fillId="0" borderId="0" xfId="1" applyNumberFormat="1" applyFont="1" applyFill="1"/>
    <xf numFmtId="49" fontId="2" fillId="0" borderId="0" xfId="1" applyNumberFormat="1" applyFont="1"/>
    <xf numFmtId="49" fontId="3" fillId="0" borderId="6" xfId="1" applyNumberFormat="1" applyFont="1" applyBorder="1"/>
    <xf numFmtId="0" fontId="3" fillId="0" borderId="2" xfId="1" applyNumberFormat="1" applyFont="1" applyBorder="1" applyAlignment="1">
      <alignment horizontal="center"/>
    </xf>
    <xf numFmtId="0" fontId="3" fillId="0" borderId="0" xfId="1" applyNumberFormat="1" applyFont="1"/>
    <xf numFmtId="0" fontId="3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49" fontId="2" fillId="0" borderId="0" xfId="1" applyNumberFormat="1"/>
    <xf numFmtId="164" fontId="2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166" fontId="3" fillId="2" borderId="0" xfId="1" applyNumberFormat="1" applyFont="1" applyFill="1" applyAlignment="1">
      <alignment horizontal="center"/>
    </xf>
    <xf numFmtId="165" fontId="2" fillId="2" borderId="0" xfId="1" applyNumberFormat="1" applyFill="1" applyAlignment="1">
      <alignment horizontal="center"/>
    </xf>
    <xf numFmtId="0" fontId="2" fillId="2" borderId="0" xfId="1" applyNumberFormat="1" applyFill="1" applyAlignment="1">
      <alignment horizontal="center"/>
    </xf>
    <xf numFmtId="49" fontId="3" fillId="0" borderId="0" xfId="1" applyNumberFormat="1" applyFont="1" applyFill="1" applyAlignment="1">
      <alignment wrapText="1"/>
    </xf>
    <xf numFmtId="10" fontId="2" fillId="0" borderId="0" xfId="1" applyNumberFormat="1" applyFill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10" fontId="3" fillId="3" borderId="0" xfId="1" applyNumberFormat="1" applyFont="1" applyFill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49" fontId="3" fillId="0" borderId="3" xfId="1" applyNumberFormat="1" applyFont="1" applyFill="1" applyBorder="1"/>
    <xf numFmtId="1" fontId="3" fillId="0" borderId="4" xfId="1" applyNumberFormat="1" applyFont="1" applyFill="1" applyBorder="1"/>
    <xf numFmtId="164" fontId="3" fillId="0" borderId="4" xfId="1" applyNumberFormat="1" applyFont="1" applyFill="1" applyBorder="1" applyAlignment="1">
      <alignment horizontal="center"/>
    </xf>
    <xf numFmtId="0" fontId="3" fillId="0" borderId="4" xfId="1" applyNumberFormat="1" applyFont="1" applyFill="1" applyBorder="1"/>
    <xf numFmtId="0" fontId="3" fillId="0" borderId="4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49" fontId="2" fillId="0" borderId="0" xfId="1" applyNumberFormat="1" applyFill="1"/>
    <xf numFmtId="164" fontId="2" fillId="0" borderId="0" xfId="1" applyNumberFormat="1" applyFill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167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/>
    <xf numFmtId="49" fontId="5" fillId="0" borderId="0" xfId="0" applyNumberFormat="1" applyFont="1" applyAlignment="1"/>
    <xf numFmtId="0" fontId="11" fillId="0" borderId="0" xfId="0" applyFont="1"/>
    <xf numFmtId="49" fontId="9" fillId="0" borderId="0" xfId="0" applyNumberFormat="1" applyFont="1" applyAlignment="1"/>
    <xf numFmtId="49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/>
    </xf>
    <xf numFmtId="0" fontId="2" fillId="2" borderId="0" xfId="1" applyNumberFormat="1" applyFill="1" applyAlignment="1">
      <alignment horizontal="center"/>
    </xf>
    <xf numFmtId="49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0" fillId="2" borderId="0" xfId="0" applyNumberForma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EB7E6221-E5E0-4F1B-BE20-0DBFE71D78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506962</xdr:colOff>
      <xdr:row>0</xdr:row>
      <xdr:rowOff>10466</xdr:rowOff>
    </xdr:from>
    <xdr:to>
      <xdr:col>13</xdr:col>
      <xdr:colOff>15240</xdr:colOff>
      <xdr:row>3</xdr:row>
      <xdr:rowOff>19826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2E69CD-925F-4E9F-88BF-EE10AADF1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87" y="10466"/>
          <a:ext cx="605558" cy="615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506962</xdr:colOff>
      <xdr:row>0</xdr:row>
      <xdr:rowOff>10466</xdr:rowOff>
    </xdr:from>
    <xdr:to>
      <xdr:col>15</xdr:col>
      <xdr:colOff>19050</xdr:colOff>
      <xdr:row>3</xdr:row>
      <xdr:rowOff>16016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03F164-69EB-48D9-B1C6-10D961345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97682" y="10466"/>
          <a:ext cx="616988" cy="6227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506962</xdr:colOff>
      <xdr:row>0</xdr:row>
      <xdr:rowOff>10466</xdr:rowOff>
    </xdr:from>
    <xdr:to>
      <xdr:col>15</xdr:col>
      <xdr:colOff>15240</xdr:colOff>
      <xdr:row>3</xdr:row>
      <xdr:rowOff>19826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B2C4A5-DA5F-4CAB-95E0-5D4CC77BF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09368" cy="626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506962</xdr:colOff>
      <xdr:row>0</xdr:row>
      <xdr:rowOff>10466</xdr:rowOff>
    </xdr:from>
    <xdr:to>
      <xdr:col>13</xdr:col>
      <xdr:colOff>15240</xdr:colOff>
      <xdr:row>3</xdr:row>
      <xdr:rowOff>19826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852255-7801-4B07-A0A5-49C8F68AE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05558" cy="6170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506962</xdr:colOff>
      <xdr:row>0</xdr:row>
      <xdr:rowOff>10466</xdr:rowOff>
    </xdr:from>
    <xdr:to>
      <xdr:col>13</xdr:col>
      <xdr:colOff>19050</xdr:colOff>
      <xdr:row>3</xdr:row>
      <xdr:rowOff>16016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B3D171-6CE3-4A46-90F5-C901CFF34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05558" cy="617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506962</xdr:colOff>
      <xdr:row>0</xdr:row>
      <xdr:rowOff>10466</xdr:rowOff>
    </xdr:from>
    <xdr:to>
      <xdr:col>13</xdr:col>
      <xdr:colOff>15240</xdr:colOff>
      <xdr:row>3</xdr:row>
      <xdr:rowOff>19826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A9964B-5A93-424E-B38A-BDCC9A319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09368" cy="626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506962</xdr:colOff>
      <xdr:row>0</xdr:row>
      <xdr:rowOff>10466</xdr:rowOff>
    </xdr:from>
    <xdr:to>
      <xdr:col>13</xdr:col>
      <xdr:colOff>15240</xdr:colOff>
      <xdr:row>3</xdr:row>
      <xdr:rowOff>19826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A16D80-5F7A-45A5-BF1E-2A03E4C4D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2522" y="10466"/>
          <a:ext cx="605558" cy="6132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506962</xdr:colOff>
      <xdr:row>0</xdr:row>
      <xdr:rowOff>10466</xdr:rowOff>
    </xdr:from>
    <xdr:to>
      <xdr:col>13</xdr:col>
      <xdr:colOff>19050</xdr:colOff>
      <xdr:row>3</xdr:row>
      <xdr:rowOff>16016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777D04-01CC-48BB-BD50-98082EF81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3047" y="12371"/>
          <a:ext cx="609368" cy="626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506962</xdr:colOff>
      <xdr:row>0</xdr:row>
      <xdr:rowOff>10466</xdr:rowOff>
    </xdr:from>
    <xdr:to>
      <xdr:col>15</xdr:col>
      <xdr:colOff>15240</xdr:colOff>
      <xdr:row>3</xdr:row>
      <xdr:rowOff>19826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D5BD03-FF08-4ADF-A741-69935D7BC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03653" cy="615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506962</xdr:colOff>
      <xdr:row>0</xdr:row>
      <xdr:rowOff>10466</xdr:rowOff>
    </xdr:from>
    <xdr:to>
      <xdr:col>15</xdr:col>
      <xdr:colOff>19050</xdr:colOff>
      <xdr:row>3</xdr:row>
      <xdr:rowOff>16016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2F31DC-81CB-4DCB-9666-7F77D2334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13178" cy="6227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506962</xdr:colOff>
      <xdr:row>0</xdr:row>
      <xdr:rowOff>10466</xdr:rowOff>
    </xdr:from>
    <xdr:to>
      <xdr:col>15</xdr:col>
      <xdr:colOff>19050</xdr:colOff>
      <xdr:row>3</xdr:row>
      <xdr:rowOff>16016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C56E6D-E2FF-4034-AD5B-9B896663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2997" y="12371"/>
          <a:ext cx="613178" cy="62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C47E-CF5B-4A6B-BCE8-ED67A89BA1B1}">
  <dimension ref="A15:J15"/>
  <sheetViews>
    <sheetView tabSelected="1" workbookViewId="0"/>
  </sheetViews>
  <sheetFormatPr defaultRowHeight="13.2" x14ac:dyDescent="0.25"/>
  <sheetData>
    <row r="15" spans="1:10" ht="33" x14ac:dyDescent="0.6">
      <c r="A15" s="127" t="s">
        <v>123</v>
      </c>
      <c r="B15" s="127"/>
      <c r="C15" s="127"/>
      <c r="D15" s="127"/>
      <c r="E15" s="127"/>
      <c r="F15" s="127"/>
      <c r="G15" s="127"/>
      <c r="H15" s="127"/>
      <c r="I15" s="127"/>
      <c r="J15" s="127"/>
    </row>
  </sheetData>
  <mergeCells count="1">
    <mergeCell ref="A15:J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8B3A-1C1E-4CE5-BE2A-F8C0A23FB6D6}">
  <sheetPr>
    <pageSetUpPr fitToPage="1"/>
  </sheetPr>
  <dimension ref="A1:S32"/>
  <sheetViews>
    <sheetView zoomScaleNormal="100" workbookViewId="0">
      <selection sqref="A1:O1"/>
    </sheetView>
  </sheetViews>
  <sheetFormatPr defaultRowHeight="13.2" x14ac:dyDescent="0.25"/>
  <cols>
    <col min="1" max="1" width="42.5546875" style="1" customWidth="1"/>
    <col min="2" max="2" width="19.5546875" style="1" customWidth="1"/>
    <col min="3" max="3" width="22" style="1" customWidth="1"/>
    <col min="4" max="4" width="21.77734375" style="2" customWidth="1"/>
    <col min="5" max="6" width="8.6640625" style="8" customWidth="1"/>
    <col min="7" max="7" width="8.5546875" style="5" customWidth="1"/>
    <col min="8" max="8" width="10.6640625" style="57" customWidth="1"/>
    <col min="9" max="11" width="21.6640625" style="53" customWidth="1"/>
    <col min="12" max="12" width="11.88671875" style="53" customWidth="1"/>
    <col min="13" max="13" width="14.6640625" style="53" bestFit="1" customWidth="1"/>
    <col min="14" max="14" width="8.6640625" style="12" customWidth="1"/>
    <col min="15" max="15" width="16.109375" style="12" customWidth="1"/>
    <col min="16" max="16" width="10.6640625" customWidth="1"/>
    <col min="17" max="17" width="10.5546875" customWidth="1"/>
    <col min="18" max="20" width="8.6640625" customWidth="1"/>
  </cols>
  <sheetData>
    <row r="1" spans="1:19" ht="17.399999999999999" x14ac:dyDescent="0.3">
      <c r="A1" s="146" t="s">
        <v>181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9" ht="15.6" x14ac:dyDescent="0.3">
      <c r="A2" s="145" t="s">
        <v>95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9" ht="15.6" x14ac:dyDescent="0.3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9" ht="14.4" x14ac:dyDescent="0.3">
      <c r="A4" s="144" t="s">
        <v>56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9" ht="15.6" x14ac:dyDescent="0.3">
      <c r="A5" s="24"/>
      <c r="B5" s="28"/>
      <c r="C5" s="28"/>
      <c r="D5" s="24"/>
      <c r="E5" s="24"/>
      <c r="F5" s="24"/>
      <c r="G5" s="62"/>
      <c r="H5" s="56"/>
      <c r="I5" s="56"/>
      <c r="J5" s="56"/>
      <c r="K5" s="56"/>
      <c r="L5" s="56"/>
      <c r="M5" s="56"/>
      <c r="N5" s="24"/>
      <c r="O5" s="24"/>
    </row>
    <row r="6" spans="1:19" ht="15.6" x14ac:dyDescent="0.3">
      <c r="A6" s="20" t="s">
        <v>42</v>
      </c>
      <c r="B6" s="20"/>
      <c r="C6" s="20"/>
      <c r="D6" s="24"/>
      <c r="E6" s="24"/>
      <c r="F6" s="24"/>
      <c r="G6" s="62"/>
      <c r="H6" s="56"/>
      <c r="I6" s="56"/>
      <c r="J6" s="56"/>
      <c r="K6" s="56"/>
      <c r="L6" s="56"/>
      <c r="M6" s="56"/>
      <c r="N6" s="24"/>
      <c r="O6" s="24"/>
    </row>
    <row r="7" spans="1:19" ht="13.8" x14ac:dyDescent="0.3">
      <c r="A7" s="29" t="s">
        <v>189</v>
      </c>
      <c r="B7" s="29"/>
      <c r="C7" s="29"/>
    </row>
    <row r="8" spans="1:19" ht="13.8" x14ac:dyDescent="0.3">
      <c r="A8" s="29" t="s">
        <v>44</v>
      </c>
      <c r="B8" s="29"/>
      <c r="C8" s="29"/>
      <c r="D8" s="22"/>
      <c r="E8" s="16"/>
      <c r="F8" s="16"/>
      <c r="G8" s="31"/>
      <c r="H8" s="58"/>
      <c r="I8" s="48"/>
      <c r="J8" s="48"/>
      <c r="K8" s="48"/>
      <c r="L8" s="48"/>
      <c r="M8" s="48"/>
      <c r="N8" s="32"/>
      <c r="O8" s="32"/>
    </row>
    <row r="9" spans="1:19" ht="13.8" x14ac:dyDescent="0.3">
      <c r="A9" s="30" t="s">
        <v>45</v>
      </c>
      <c r="B9" s="30"/>
      <c r="C9" s="30"/>
      <c r="D9" s="22"/>
      <c r="E9" s="16"/>
      <c r="F9" s="16"/>
      <c r="G9" s="31"/>
      <c r="H9" s="58"/>
      <c r="I9" s="48"/>
      <c r="J9" s="48"/>
      <c r="K9" s="48"/>
      <c r="L9" s="48"/>
      <c r="M9" s="48"/>
      <c r="N9" s="32"/>
      <c r="O9" s="32"/>
    </row>
    <row r="10" spans="1:19" ht="13.8" x14ac:dyDescent="0.3">
      <c r="A10" s="30" t="s">
        <v>46</v>
      </c>
      <c r="B10" s="30"/>
      <c r="C10" s="30"/>
      <c r="D10" s="22"/>
      <c r="E10" s="16"/>
      <c r="F10" s="16"/>
      <c r="G10" s="31"/>
      <c r="H10" s="58"/>
      <c r="I10" s="48"/>
      <c r="J10" s="48"/>
      <c r="K10" s="48"/>
      <c r="L10" s="48"/>
      <c r="M10" s="48"/>
      <c r="N10" s="32"/>
      <c r="O10" s="32"/>
    </row>
    <row r="11" spans="1:19" ht="13.8" x14ac:dyDescent="0.3">
      <c r="A11" s="30" t="s">
        <v>47</v>
      </c>
      <c r="B11" s="30"/>
      <c r="C11" s="30"/>
      <c r="D11" s="22"/>
      <c r="E11" s="16"/>
      <c r="F11" s="16"/>
      <c r="G11" s="31"/>
      <c r="H11" s="58"/>
      <c r="I11" s="48"/>
      <c r="J11" s="48"/>
      <c r="K11" s="48"/>
      <c r="L11" s="48"/>
      <c r="M11" s="48"/>
      <c r="N11" s="32"/>
      <c r="O11" s="32"/>
    </row>
    <row r="12" spans="1:19" ht="13.8" x14ac:dyDescent="0.3">
      <c r="A12" s="30" t="s">
        <v>48</v>
      </c>
      <c r="B12" s="30"/>
      <c r="C12" s="30"/>
      <c r="D12" s="22"/>
      <c r="E12" s="16"/>
      <c r="F12" s="16"/>
      <c r="G12" s="31"/>
      <c r="H12" s="58"/>
      <c r="I12" s="48"/>
      <c r="J12" s="48"/>
      <c r="K12" s="48"/>
      <c r="L12" s="48"/>
      <c r="M12" s="48"/>
      <c r="N12" s="32"/>
      <c r="O12" s="32"/>
    </row>
    <row r="13" spans="1:19" x14ac:dyDescent="0.25">
      <c r="A13" s="21"/>
      <c r="B13" s="21"/>
      <c r="C13" s="21"/>
      <c r="D13" s="22"/>
      <c r="E13" s="16"/>
      <c r="F13" s="16"/>
      <c r="G13" s="31"/>
      <c r="H13" s="58"/>
      <c r="I13" s="48"/>
      <c r="J13" s="48"/>
      <c r="K13" s="48"/>
      <c r="L13" s="48"/>
      <c r="M13" s="48"/>
      <c r="N13" s="32"/>
      <c r="O13" s="32"/>
    </row>
    <row r="14" spans="1:19" ht="22.2" customHeight="1" thickBot="1" x14ac:dyDescent="0.3">
      <c r="A14" s="21"/>
      <c r="B14" s="21"/>
      <c r="C14" s="21"/>
      <c r="D14" s="22"/>
      <c r="E14" s="132" t="s">
        <v>21</v>
      </c>
      <c r="F14" s="132"/>
      <c r="G14" s="132"/>
      <c r="H14" s="58"/>
      <c r="I14" s="132" t="s">
        <v>34</v>
      </c>
      <c r="J14" s="132"/>
      <c r="K14" s="132"/>
      <c r="L14" s="132"/>
      <c r="M14" s="132"/>
      <c r="N14" s="132"/>
      <c r="O14" s="132"/>
    </row>
    <row r="15" spans="1:19" ht="46.8" customHeight="1" thickBot="1" x14ac:dyDescent="0.3">
      <c r="A15" s="33" t="s">
        <v>63</v>
      </c>
      <c r="B15" s="34" t="s">
        <v>83</v>
      </c>
      <c r="C15" s="34" t="s">
        <v>82</v>
      </c>
      <c r="D15" s="22"/>
      <c r="E15" s="35" t="s">
        <v>0</v>
      </c>
      <c r="F15" s="35" t="s">
        <v>1</v>
      </c>
      <c r="G15" s="63" t="s">
        <v>2</v>
      </c>
      <c r="H15" s="59"/>
      <c r="I15" s="49" t="s">
        <v>19</v>
      </c>
      <c r="J15" s="49" t="s">
        <v>18</v>
      </c>
      <c r="K15" s="49" t="s">
        <v>35</v>
      </c>
      <c r="L15" s="49" t="s">
        <v>23</v>
      </c>
      <c r="M15" s="49" t="s">
        <v>24</v>
      </c>
      <c r="N15" s="13" t="s">
        <v>25</v>
      </c>
      <c r="O15" s="13" t="s">
        <v>33</v>
      </c>
      <c r="Q15" s="6"/>
      <c r="R15" s="6"/>
      <c r="S15" s="6"/>
    </row>
    <row r="16" spans="1:19" ht="13.8" thickTop="1" x14ac:dyDescent="0.25">
      <c r="A16" s="1" t="s">
        <v>51</v>
      </c>
      <c r="B16" s="75" t="s">
        <v>66</v>
      </c>
      <c r="C16" s="75" t="s">
        <v>67</v>
      </c>
      <c r="D16" s="22"/>
      <c r="E16" s="5">
        <v>0.89</v>
      </c>
      <c r="F16" s="5">
        <v>0.85</v>
      </c>
      <c r="G16" s="5">
        <v>0.95</v>
      </c>
      <c r="H16" s="58"/>
      <c r="I16" s="48">
        <f>LN(E16)</f>
        <v>-0.11653381625595151</v>
      </c>
      <c r="J16" s="48">
        <f>(LN(G16)-LN(F16))/3.92</f>
        <v>2.8373886507710295E-2</v>
      </c>
      <c r="K16" s="48">
        <f>1/J16^2</f>
        <v>1242.1165416390345</v>
      </c>
      <c r="L16" s="48">
        <f t="shared" ref="L16:L23" si="0">(I16^2)*K16</f>
        <v>16.868104521967524</v>
      </c>
      <c r="M16" s="48">
        <f t="shared" ref="M16:M23" si="1">K16^2</f>
        <v>1542853.5030133154</v>
      </c>
      <c r="N16" s="32">
        <f t="shared" ref="N16:N23" si="2">J16^2 + $M$31</f>
        <v>2.8719326728990505E-3</v>
      </c>
      <c r="O16" s="32">
        <f>1/N16</f>
        <v>348.19757769271018</v>
      </c>
    </row>
    <row r="17" spans="1:19" x14ac:dyDescent="0.25">
      <c r="A17" s="71" t="s">
        <v>52</v>
      </c>
      <c r="B17" s="74" t="s">
        <v>70</v>
      </c>
      <c r="C17" s="74" t="s">
        <v>90</v>
      </c>
      <c r="D17" s="22"/>
      <c r="E17" s="5">
        <v>1.028</v>
      </c>
      <c r="F17" s="5">
        <v>1.014</v>
      </c>
      <c r="G17" s="31">
        <v>1.0429999999999999</v>
      </c>
      <c r="H17" s="58"/>
      <c r="I17" s="48">
        <f t="shared" ref="I17:I23" si="3">LN(E17)</f>
        <v>2.7615167032973391E-2</v>
      </c>
      <c r="J17" s="48">
        <f t="shared" ref="J17:J23" si="4">(LN(G17)-LN(F17))/3.92</f>
        <v>7.1934364412356878E-3</v>
      </c>
      <c r="K17" s="48">
        <f t="shared" ref="K17:K23" si="5">1/J17^2</f>
        <v>19325.341567799278</v>
      </c>
      <c r="L17" s="48">
        <f t="shared" si="0"/>
        <v>14.737456204988389</v>
      </c>
      <c r="M17" s="48">
        <f t="shared" si="1"/>
        <v>373468826.71211064</v>
      </c>
      <c r="N17" s="32">
        <f t="shared" si="2"/>
        <v>2.1186007651807235E-3</v>
      </c>
      <c r="O17" s="32">
        <f t="shared" ref="O17:O23" si="6">1/N17</f>
        <v>472.00964732715784</v>
      </c>
    </row>
    <row r="18" spans="1:19" x14ac:dyDescent="0.25">
      <c r="A18" s="1" t="s">
        <v>12</v>
      </c>
      <c r="B18" s="75" t="s">
        <v>71</v>
      </c>
      <c r="C18" s="75" t="s">
        <v>72</v>
      </c>
      <c r="D18" s="22"/>
      <c r="E18" s="5">
        <v>1.26</v>
      </c>
      <c r="F18" s="5">
        <v>1.02</v>
      </c>
      <c r="G18" s="5">
        <v>1.54</v>
      </c>
      <c r="H18" s="58"/>
      <c r="I18" s="48">
        <f t="shared" si="3"/>
        <v>0.23111172096338664</v>
      </c>
      <c r="J18" s="48">
        <f t="shared" si="4"/>
        <v>0.10509688498197911</v>
      </c>
      <c r="K18" s="48">
        <f t="shared" si="5"/>
        <v>90.535793454608225</v>
      </c>
      <c r="L18" s="48">
        <f t="shared" si="0"/>
        <v>4.8357546172428885</v>
      </c>
      <c r="M18" s="48">
        <f t="shared" si="1"/>
        <v>8196.7298964554811</v>
      </c>
      <c r="N18" s="32">
        <f t="shared" si="2"/>
        <v>1.3112210470261973E-2</v>
      </c>
      <c r="O18" s="32">
        <f t="shared" si="6"/>
        <v>76.264791681613445</v>
      </c>
    </row>
    <row r="19" spans="1:19" x14ac:dyDescent="0.25">
      <c r="A19" s="1" t="s">
        <v>53</v>
      </c>
      <c r="B19" s="75" t="s">
        <v>73</v>
      </c>
      <c r="C19" s="75" t="s">
        <v>74</v>
      </c>
      <c r="D19" s="22"/>
      <c r="E19" s="5">
        <v>0.86</v>
      </c>
      <c r="F19" s="5">
        <v>0.72</v>
      </c>
      <c r="G19" s="5">
        <v>1.02</v>
      </c>
      <c r="H19" s="58"/>
      <c r="I19" s="48">
        <f t="shared" si="3"/>
        <v>-0.15082288973458366</v>
      </c>
      <c r="J19" s="48">
        <f t="shared" si="4"/>
        <v>8.8853748537810154E-2</v>
      </c>
      <c r="K19" s="48">
        <f t="shared" si="5"/>
        <v>126.66262701112289</v>
      </c>
      <c r="L19" s="48">
        <f t="shared" si="0"/>
        <v>2.8812636896902806</v>
      </c>
      <c r="M19" s="48">
        <f t="shared" si="1"/>
        <v>16043.421081358838</v>
      </c>
      <c r="N19" s="32">
        <f t="shared" si="2"/>
        <v>9.9618438665670262E-3</v>
      </c>
      <c r="O19" s="32">
        <f t="shared" si="6"/>
        <v>100.38302280124094</v>
      </c>
    </row>
    <row r="20" spans="1:19" x14ac:dyDescent="0.25">
      <c r="A20" s="1" t="s">
        <v>54</v>
      </c>
      <c r="B20" s="75" t="s">
        <v>75</v>
      </c>
      <c r="C20" s="75" t="s">
        <v>105</v>
      </c>
      <c r="D20" s="22"/>
      <c r="E20" s="5">
        <v>1.1399999999999999</v>
      </c>
      <c r="F20" s="5">
        <v>1.07</v>
      </c>
      <c r="G20" s="5">
        <v>1.22</v>
      </c>
      <c r="H20" s="58"/>
      <c r="I20" s="48">
        <f t="shared" si="3"/>
        <v>0.131028262406404</v>
      </c>
      <c r="J20" s="48">
        <f t="shared" si="4"/>
        <v>3.3467400579426099E-2</v>
      </c>
      <c r="K20" s="48">
        <f t="shared" si="5"/>
        <v>892.80381254165798</v>
      </c>
      <c r="L20" s="48">
        <f t="shared" si="0"/>
        <v>15.328017929624135</v>
      </c>
      <c r="M20" s="48">
        <f t="shared" si="1"/>
        <v>797098.64768891991</v>
      </c>
      <c r="N20" s="32">
        <f t="shared" si="2"/>
        <v>3.1869221388903966E-3</v>
      </c>
      <c r="O20" s="32">
        <f t="shared" si="6"/>
        <v>313.78237572762725</v>
      </c>
    </row>
    <row r="21" spans="1:19" x14ac:dyDescent="0.25">
      <c r="A21" s="1" t="s">
        <v>4</v>
      </c>
      <c r="B21" s="75" t="s">
        <v>77</v>
      </c>
      <c r="C21" s="75" t="s">
        <v>78</v>
      </c>
      <c r="D21" s="22"/>
      <c r="E21" s="5">
        <v>0.95</v>
      </c>
      <c r="F21" s="5">
        <v>0.76</v>
      </c>
      <c r="G21" s="5">
        <v>1.2</v>
      </c>
      <c r="H21" s="58"/>
      <c r="I21" s="48">
        <f t="shared" si="3"/>
        <v>-5.1293294387550578E-2</v>
      </c>
      <c r="J21" s="48">
        <f t="shared" si="4"/>
        <v>0.11652000063666196</v>
      </c>
      <c r="K21" s="48">
        <f t="shared" si="5"/>
        <v>73.654458901935243</v>
      </c>
      <c r="L21" s="48">
        <f t="shared" si="0"/>
        <v>0.19378503229840036</v>
      </c>
      <c r="M21" s="48">
        <f t="shared" si="1"/>
        <v>5424.979316136868</v>
      </c>
      <c r="N21" s="32">
        <f t="shared" si="2"/>
        <v>1.5643765785714331E-2</v>
      </c>
      <c r="O21" s="32">
        <f t="shared" si="6"/>
        <v>63.923227546220751</v>
      </c>
    </row>
    <row r="22" spans="1:19" x14ac:dyDescent="0.25">
      <c r="A22" s="1" t="s">
        <v>55</v>
      </c>
      <c r="B22" s="75" t="s">
        <v>79</v>
      </c>
      <c r="C22" s="75" t="s">
        <v>76</v>
      </c>
      <c r="D22" s="22"/>
      <c r="E22" s="5">
        <v>1.0249999999999999</v>
      </c>
      <c r="F22" s="5">
        <v>1</v>
      </c>
      <c r="G22" s="5">
        <v>1.0489999999999999</v>
      </c>
      <c r="H22" s="58"/>
      <c r="I22" s="48">
        <f t="shared" si="3"/>
        <v>2.4692612590371414E-2</v>
      </c>
      <c r="J22" s="48">
        <f t="shared" si="4"/>
        <v>1.2203400360755116E-2</v>
      </c>
      <c r="K22" s="48">
        <f t="shared" si="5"/>
        <v>6714.8803868273872</v>
      </c>
      <c r="L22" s="48">
        <f t="shared" si="0"/>
        <v>4.0942312263981933</v>
      </c>
      <c r="M22" s="48">
        <f t="shared" si="1"/>
        <v>45089618.609399118</v>
      </c>
      <c r="N22" s="32">
        <f t="shared" si="2"/>
        <v>2.2157782177115041E-3</v>
      </c>
      <c r="O22" s="32">
        <f t="shared" si="6"/>
        <v>451.30870590144991</v>
      </c>
    </row>
    <row r="23" spans="1:19" ht="13.8" thickBot="1" x14ac:dyDescent="0.3">
      <c r="A23" s="71" t="s">
        <v>7</v>
      </c>
      <c r="B23" s="74" t="s">
        <v>80</v>
      </c>
      <c r="C23" s="74" t="s">
        <v>81</v>
      </c>
      <c r="D23" s="22"/>
      <c r="E23" s="5">
        <v>1.016</v>
      </c>
      <c r="F23" s="5">
        <v>0.97899999999999998</v>
      </c>
      <c r="G23" s="5">
        <v>1.054</v>
      </c>
      <c r="H23" s="58"/>
      <c r="I23" s="48">
        <f t="shared" si="3"/>
        <v>1.5873349156290163E-2</v>
      </c>
      <c r="J23" s="48">
        <f t="shared" si="4"/>
        <v>1.8830634329285029E-2</v>
      </c>
      <c r="K23" s="48">
        <f t="shared" si="5"/>
        <v>2820.1363094104204</v>
      </c>
      <c r="L23" s="48">
        <f t="shared" si="0"/>
        <v>0.71057060685081452</v>
      </c>
      <c r="M23" s="48">
        <f t="shared" si="1"/>
        <v>7953168.8036550265</v>
      </c>
      <c r="N23" s="32">
        <f t="shared" si="2"/>
        <v>2.4214480265898741E-3</v>
      </c>
      <c r="O23" s="32">
        <f t="shared" si="6"/>
        <v>412.97603294351944</v>
      </c>
    </row>
    <row r="24" spans="1:19" s="7" customFormat="1" ht="13.8" thickBot="1" x14ac:dyDescent="0.3">
      <c r="A24" s="39" t="s">
        <v>20</v>
      </c>
      <c r="B24" s="40"/>
      <c r="C24" s="40"/>
      <c r="D24" s="41"/>
      <c r="E24" s="42">
        <f>EXP(I24)</f>
        <v>1.0231010795352804</v>
      </c>
      <c r="F24" s="42">
        <f>EXP(I24+J24*-1.96)</f>
        <v>1.0118266471110466</v>
      </c>
      <c r="G24" s="42">
        <f>EXP(I24+J24*1.96)</f>
        <v>1.0345011390388679</v>
      </c>
      <c r="H24" s="60"/>
      <c r="I24" s="50">
        <f>SUMPRODUCT(I16:I23,K16:K23)/SUM(K16:K23)</f>
        <v>2.2838289063260558E-2</v>
      </c>
      <c r="J24" s="50">
        <f>1/SQRT(SUM(K16:K23))</f>
        <v>5.6535868327288949E-3</v>
      </c>
      <c r="K24" s="51"/>
      <c r="L24" s="52"/>
      <c r="M24" s="52"/>
      <c r="N24" s="44"/>
      <c r="O24" s="44"/>
    </row>
    <row r="25" spans="1:19" s="7" customFormat="1" ht="13.8" thickBot="1" x14ac:dyDescent="0.3">
      <c r="A25" s="39" t="s">
        <v>32</v>
      </c>
      <c r="B25" s="40"/>
      <c r="C25" s="40"/>
      <c r="D25" s="41"/>
      <c r="E25" s="42">
        <f>EXP(I25)</f>
        <v>1.0137064819856751</v>
      </c>
      <c r="F25" s="42">
        <f>EXP(I25-1.96*J25)</f>
        <v>0.97257329571143536</v>
      </c>
      <c r="G25" s="42">
        <f>EXP(I25+1.96*J25)</f>
        <v>1.0565793201920952</v>
      </c>
      <c r="H25" s="60"/>
      <c r="I25" s="50">
        <f>SUMPRODUCT(I16:I23,O16:O23)/SUM(O16:O23)</f>
        <v>1.3613397768406064E-2</v>
      </c>
      <c r="J25" s="50">
        <f>1/SQRT(SUM(O16:O23))</f>
        <v>2.1134303957747388E-2</v>
      </c>
      <c r="K25" s="51"/>
      <c r="L25" s="52"/>
      <c r="M25" s="52"/>
      <c r="N25" s="44"/>
      <c r="O25" s="44"/>
    </row>
    <row r="26" spans="1:19" x14ac:dyDescent="0.25">
      <c r="E26" s="5"/>
      <c r="F26" s="5"/>
      <c r="L26" s="54"/>
      <c r="M26" s="49" t="s">
        <v>27</v>
      </c>
    </row>
    <row r="27" spans="1:19" s="12" customFormat="1" ht="25.2" customHeight="1" x14ac:dyDescent="0.25">
      <c r="A27" s="128" t="s">
        <v>39</v>
      </c>
      <c r="B27" s="26"/>
      <c r="C27" s="26"/>
      <c r="D27" s="9" t="s">
        <v>22</v>
      </c>
      <c r="E27" s="134" t="s">
        <v>38</v>
      </c>
      <c r="F27" s="134"/>
      <c r="G27" s="134"/>
      <c r="H27" s="57"/>
      <c r="I27" s="53"/>
      <c r="J27" s="53"/>
      <c r="K27" s="53"/>
      <c r="L27" s="55" t="s">
        <v>26</v>
      </c>
      <c r="M27" s="53">
        <f>SUM(L16:L23)-SUMPRODUCT(I16:I23,K16:K23)^2/SUM(K16:K23)</f>
        <v>43.330730364183864</v>
      </c>
      <c r="P27"/>
      <c r="Q27"/>
      <c r="R27"/>
      <c r="S27"/>
    </row>
    <row r="28" spans="1:19" s="12" customFormat="1" x14ac:dyDescent="0.25">
      <c r="A28" s="129"/>
      <c r="B28" s="27"/>
      <c r="C28" s="27"/>
      <c r="D28" s="61">
        <f>SUMPRODUCT(I16:I23-$I$24,I16:I23-$I$24,K16:K23)</f>
        <v>43.330730364183857</v>
      </c>
      <c r="E28" s="135">
        <f>_xlfn.CHISQ.DIST.RT(D28,COUNT(E16:E23)-1)</f>
        <v>2.8793002648798653E-7</v>
      </c>
      <c r="F28" s="135"/>
      <c r="G28" s="135"/>
      <c r="H28" s="57"/>
      <c r="I28" s="53"/>
      <c r="J28" s="53"/>
      <c r="K28" s="53"/>
      <c r="L28" s="55" t="s">
        <v>28</v>
      </c>
      <c r="M28" s="53">
        <f>COUNT(E16:E23)-1</f>
        <v>7</v>
      </c>
      <c r="P28"/>
      <c r="Q28"/>
      <c r="R28"/>
      <c r="S28"/>
    </row>
    <row r="29" spans="1:19" s="12" customFormat="1" x14ac:dyDescent="0.25">
      <c r="A29" s="129"/>
      <c r="B29" s="27"/>
      <c r="C29" s="27"/>
      <c r="D29" s="10"/>
      <c r="E29" s="25"/>
      <c r="F29" s="25"/>
      <c r="G29" s="64"/>
      <c r="H29" s="57"/>
      <c r="I29" s="53"/>
      <c r="J29" s="53"/>
      <c r="K29" s="53"/>
      <c r="L29" s="55" t="s">
        <v>29</v>
      </c>
      <c r="M29" s="53">
        <f>MAX(M27-M28,0)</f>
        <v>36.330730364183864</v>
      </c>
      <c r="P29"/>
      <c r="Q29"/>
      <c r="R29"/>
      <c r="S29"/>
    </row>
    <row r="30" spans="1:19" s="12" customFormat="1" x14ac:dyDescent="0.25">
      <c r="A30" s="14"/>
      <c r="B30" s="14"/>
      <c r="C30" s="14"/>
      <c r="D30" s="15"/>
      <c r="E30" s="16"/>
      <c r="F30" s="16"/>
      <c r="G30" s="31"/>
      <c r="H30" s="57"/>
      <c r="I30" s="53"/>
      <c r="J30" s="53"/>
      <c r="K30" s="53"/>
      <c r="L30" s="55" t="s">
        <v>30</v>
      </c>
      <c r="M30" s="53">
        <f>SUM(K16:K23)-SUM(M16:M23)/SUM(K16:K23)</f>
        <v>17577.781795121893</v>
      </c>
      <c r="P30"/>
      <c r="Q30"/>
      <c r="R30"/>
      <c r="S30"/>
    </row>
    <row r="31" spans="1:19" s="12" customFormat="1" x14ac:dyDescent="0.25">
      <c r="A31" s="1"/>
      <c r="B31" s="1"/>
      <c r="C31" s="1"/>
      <c r="D31" s="2"/>
      <c r="E31" s="8"/>
      <c r="F31" s="8"/>
      <c r="G31" s="5"/>
      <c r="H31" s="57"/>
      <c r="I31" s="53"/>
      <c r="J31" s="53"/>
      <c r="K31" s="53"/>
      <c r="L31" s="55" t="s">
        <v>31</v>
      </c>
      <c r="M31" s="53">
        <f>M29/M30</f>
        <v>2.0668552373466261E-3</v>
      </c>
      <c r="P31"/>
      <c r="Q31"/>
      <c r="R31"/>
      <c r="S31"/>
    </row>
    <row r="32" spans="1:19" s="12" customFormat="1" x14ac:dyDescent="0.25">
      <c r="A32" s="18" t="s">
        <v>37</v>
      </c>
      <c r="B32" s="18"/>
      <c r="C32" s="18"/>
      <c r="D32" s="19">
        <f>(D28-COUNT(E16:E23)+1)/D28</f>
        <v>0.8384518345025167</v>
      </c>
      <c r="E32" s="17"/>
      <c r="F32" s="17"/>
      <c r="G32" s="65"/>
      <c r="H32" s="57"/>
      <c r="I32" s="53"/>
      <c r="J32" s="53"/>
      <c r="K32" s="53"/>
      <c r="L32" s="53"/>
      <c r="M32" s="53"/>
      <c r="P32"/>
      <c r="Q32"/>
      <c r="R32"/>
      <c r="S32"/>
    </row>
  </sheetData>
  <mergeCells count="9">
    <mergeCell ref="A27:A29"/>
    <mergeCell ref="E27:G27"/>
    <mergeCell ref="E28:G28"/>
    <mergeCell ref="A1:O1"/>
    <mergeCell ref="A2:O2"/>
    <mergeCell ref="A3:O3"/>
    <mergeCell ref="A4:O4"/>
    <mergeCell ref="E14:G14"/>
    <mergeCell ref="I14:O14"/>
  </mergeCells>
  <pageMargins left="0.5" right="0.25" top="1" bottom="0.25" header="0.5" footer="0.5"/>
  <pageSetup scale="51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4E2C-3C9C-4831-B42F-CCC37562A41F}">
  <sheetPr>
    <pageSetUpPr fitToPage="1"/>
  </sheetPr>
  <dimension ref="A1:S31"/>
  <sheetViews>
    <sheetView zoomScaleNormal="100" workbookViewId="0">
      <selection sqref="A1:O1"/>
    </sheetView>
  </sheetViews>
  <sheetFormatPr defaultRowHeight="13.2" x14ac:dyDescent="0.25"/>
  <cols>
    <col min="1" max="1" width="42.5546875" style="1" customWidth="1"/>
    <col min="2" max="2" width="25.33203125" style="1" customWidth="1"/>
    <col min="3" max="3" width="22.21875" style="1" customWidth="1"/>
    <col min="4" max="4" width="23.77734375" style="2" customWidth="1"/>
    <col min="5" max="6" width="8.6640625" style="8" customWidth="1"/>
    <col min="7" max="7" width="8.5546875" style="5" customWidth="1"/>
    <col min="8" max="8" width="10.6640625" style="57" customWidth="1"/>
    <col min="9" max="11" width="21.6640625" style="53" customWidth="1"/>
    <col min="12" max="12" width="11.88671875" style="53" customWidth="1"/>
    <col min="13" max="13" width="14.6640625" style="53" bestFit="1" customWidth="1"/>
    <col min="14" max="14" width="8.6640625" style="12" customWidth="1"/>
    <col min="15" max="15" width="16.109375" style="12" customWidth="1"/>
    <col min="16" max="16" width="10.6640625" customWidth="1"/>
    <col min="17" max="17" width="10.5546875" customWidth="1"/>
    <col min="18" max="20" width="8.6640625" customWidth="1"/>
  </cols>
  <sheetData>
    <row r="1" spans="1:19" ht="17.399999999999999" x14ac:dyDescent="0.3">
      <c r="A1" s="146" t="s">
        <v>180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9" ht="15.6" x14ac:dyDescent="0.3">
      <c r="A2" s="145" t="s">
        <v>95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9" ht="15.6" x14ac:dyDescent="0.3">
      <c r="A3" s="145" t="s">
        <v>98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9" ht="14.4" x14ac:dyDescent="0.3">
      <c r="A4" s="144" t="s">
        <v>56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9" ht="15.6" x14ac:dyDescent="0.3">
      <c r="A5" s="24"/>
      <c r="B5" s="28"/>
      <c r="C5" s="28"/>
      <c r="D5" s="24"/>
      <c r="E5" s="24"/>
      <c r="F5" s="24"/>
      <c r="G5" s="62"/>
      <c r="H5" s="56"/>
      <c r="I5" s="56"/>
      <c r="J5" s="56"/>
      <c r="K5" s="56"/>
      <c r="L5" s="56"/>
      <c r="M5" s="56"/>
      <c r="N5" s="24"/>
      <c r="O5" s="24"/>
    </row>
    <row r="6" spans="1:19" ht="15.6" x14ac:dyDescent="0.3">
      <c r="A6" s="20" t="s">
        <v>42</v>
      </c>
      <c r="B6" s="20"/>
      <c r="C6" s="20"/>
      <c r="D6" s="24"/>
      <c r="E6" s="24"/>
      <c r="F6" s="24"/>
      <c r="G6" s="62"/>
      <c r="H6" s="56"/>
      <c r="I6" s="56"/>
      <c r="J6" s="56"/>
      <c r="K6" s="56"/>
      <c r="L6" s="56"/>
      <c r="M6" s="56"/>
      <c r="N6" s="24"/>
      <c r="O6" s="24"/>
    </row>
    <row r="7" spans="1:19" ht="13.8" x14ac:dyDescent="0.3">
      <c r="A7" s="29" t="s">
        <v>189</v>
      </c>
      <c r="B7" s="29"/>
      <c r="C7" s="29"/>
    </row>
    <row r="8" spans="1:19" ht="13.8" x14ac:dyDescent="0.3">
      <c r="A8" s="29" t="s">
        <v>44</v>
      </c>
      <c r="B8" s="29"/>
      <c r="C8" s="29"/>
      <c r="D8" s="22"/>
      <c r="E8" s="16"/>
      <c r="F8" s="16"/>
      <c r="G8" s="31"/>
      <c r="H8" s="58"/>
      <c r="I8" s="48"/>
      <c r="J8" s="48"/>
      <c r="K8" s="48"/>
      <c r="L8" s="48"/>
      <c r="M8" s="48"/>
      <c r="N8" s="32"/>
      <c r="O8" s="32"/>
    </row>
    <row r="9" spans="1:19" ht="13.8" x14ac:dyDescent="0.3">
      <c r="A9" s="30" t="s">
        <v>45</v>
      </c>
      <c r="B9" s="30"/>
      <c r="C9" s="30"/>
      <c r="D9" s="22"/>
      <c r="E9" s="16"/>
      <c r="F9" s="16"/>
      <c r="G9" s="31"/>
      <c r="H9" s="58"/>
      <c r="I9" s="48"/>
      <c r="J9" s="48"/>
      <c r="K9" s="48"/>
      <c r="L9" s="48"/>
      <c r="M9" s="48"/>
      <c r="N9" s="32"/>
      <c r="O9" s="32"/>
    </row>
    <row r="10" spans="1:19" ht="13.8" x14ac:dyDescent="0.3">
      <c r="A10" s="30" t="s">
        <v>46</v>
      </c>
      <c r="B10" s="30"/>
      <c r="C10" s="30"/>
      <c r="D10" s="22"/>
      <c r="E10" s="16"/>
      <c r="F10" s="16"/>
      <c r="G10" s="31"/>
      <c r="H10" s="58"/>
      <c r="I10" s="48"/>
      <c r="J10" s="48"/>
      <c r="K10" s="48"/>
      <c r="L10" s="48"/>
      <c r="M10" s="48"/>
      <c r="N10" s="32"/>
      <c r="O10" s="32"/>
    </row>
    <row r="11" spans="1:19" ht="13.8" x14ac:dyDescent="0.3">
      <c r="A11" s="30" t="s">
        <v>47</v>
      </c>
      <c r="B11" s="30"/>
      <c r="C11" s="30"/>
      <c r="D11" s="22"/>
      <c r="E11" s="16"/>
      <c r="F11" s="16"/>
      <c r="G11" s="31"/>
      <c r="H11" s="58"/>
      <c r="I11" s="48"/>
      <c r="J11" s="48"/>
      <c r="K11" s="48"/>
      <c r="L11" s="48"/>
      <c r="M11" s="48"/>
      <c r="N11" s="32"/>
      <c r="O11" s="32"/>
    </row>
    <row r="12" spans="1:19" ht="13.8" x14ac:dyDescent="0.3">
      <c r="A12" s="30" t="s">
        <v>48</v>
      </c>
      <c r="B12" s="30"/>
      <c r="C12" s="30"/>
      <c r="D12" s="22"/>
      <c r="E12" s="16"/>
      <c r="F12" s="16"/>
      <c r="G12" s="31"/>
      <c r="H12" s="58"/>
      <c r="I12" s="48"/>
      <c r="J12" s="48"/>
      <c r="K12" s="48"/>
      <c r="L12" s="48"/>
      <c r="M12" s="48"/>
      <c r="N12" s="32"/>
      <c r="O12" s="32"/>
    </row>
    <row r="13" spans="1:19" ht="22.2" customHeight="1" thickBot="1" x14ac:dyDescent="0.3">
      <c r="A13" s="21"/>
      <c r="B13" s="21"/>
      <c r="C13" s="21"/>
      <c r="D13" s="22"/>
      <c r="E13" s="132" t="s">
        <v>21</v>
      </c>
      <c r="F13" s="132"/>
      <c r="G13" s="132"/>
      <c r="H13" s="58"/>
      <c r="I13" s="132" t="s">
        <v>34</v>
      </c>
      <c r="J13" s="132"/>
      <c r="K13" s="132"/>
      <c r="L13" s="132"/>
      <c r="M13" s="132"/>
      <c r="N13" s="132"/>
      <c r="O13" s="132"/>
    </row>
    <row r="14" spans="1:19" ht="46.8" customHeight="1" thickBot="1" x14ac:dyDescent="0.3">
      <c r="A14" s="33" t="s">
        <v>63</v>
      </c>
      <c r="B14" s="34" t="s">
        <v>83</v>
      </c>
      <c r="C14" s="34" t="s">
        <v>82</v>
      </c>
      <c r="D14" s="22"/>
      <c r="E14" s="35" t="s">
        <v>0</v>
      </c>
      <c r="F14" s="35" t="s">
        <v>1</v>
      </c>
      <c r="G14" s="63" t="s">
        <v>2</v>
      </c>
      <c r="H14" s="59"/>
      <c r="I14" s="49" t="s">
        <v>19</v>
      </c>
      <c r="J14" s="49" t="s">
        <v>18</v>
      </c>
      <c r="K14" s="49" t="s">
        <v>35</v>
      </c>
      <c r="L14" s="49" t="s">
        <v>23</v>
      </c>
      <c r="M14" s="49" t="s">
        <v>24</v>
      </c>
      <c r="N14" s="13" t="s">
        <v>25</v>
      </c>
      <c r="O14" s="13" t="s">
        <v>33</v>
      </c>
      <c r="Q14" s="6"/>
      <c r="R14" s="6"/>
      <c r="S14" s="6"/>
    </row>
    <row r="15" spans="1:19" ht="13.8" thickTop="1" x14ac:dyDescent="0.25">
      <c r="A15" s="37" t="s">
        <v>51</v>
      </c>
      <c r="B15" s="38" t="s">
        <v>66</v>
      </c>
      <c r="C15" s="38" t="s">
        <v>67</v>
      </c>
      <c r="D15" s="22"/>
      <c r="E15" s="31">
        <v>0.89</v>
      </c>
      <c r="F15" s="31">
        <v>0.85</v>
      </c>
      <c r="G15" s="31">
        <v>0.95</v>
      </c>
      <c r="H15" s="58"/>
      <c r="I15" s="48">
        <f>LN(E15)</f>
        <v>-0.11653381625595151</v>
      </c>
      <c r="J15" s="48">
        <f>(LN(G15)-LN(F15))/3.92</f>
        <v>2.8373886507710295E-2</v>
      </c>
      <c r="K15" s="48">
        <f>1/J15^2</f>
        <v>1242.1165416390345</v>
      </c>
      <c r="L15" s="48">
        <f t="shared" ref="L15:L22" si="0">(I15^2)*K15</f>
        <v>16.868104521967524</v>
      </c>
      <c r="M15" s="48">
        <f t="shared" ref="M15:M22" si="1">K15^2</f>
        <v>1542853.5030133154</v>
      </c>
      <c r="N15" s="32">
        <f t="shared" ref="N15:N22" si="2">J15^2 + $M$30</f>
        <v>2.4488654883397221E-3</v>
      </c>
      <c r="O15" s="32">
        <f>1/N15</f>
        <v>408.35235939315652</v>
      </c>
    </row>
    <row r="16" spans="1:19" x14ac:dyDescent="0.25">
      <c r="A16" s="21" t="s">
        <v>52</v>
      </c>
      <c r="B16" s="38" t="s">
        <v>70</v>
      </c>
      <c r="C16" s="75" t="s">
        <v>100</v>
      </c>
      <c r="D16" s="22"/>
      <c r="E16" s="31">
        <v>1.02</v>
      </c>
      <c r="F16" s="31">
        <v>1.0029999999999999</v>
      </c>
      <c r="G16" s="31">
        <v>1.0369999999999999</v>
      </c>
      <c r="H16" s="58"/>
      <c r="I16" s="48">
        <f t="shared" ref="I16:I22" si="3">LN(E16)</f>
        <v>1.980262729617973E-2</v>
      </c>
      <c r="J16" s="48">
        <f t="shared" ref="J16:J22" si="4">(LN(G16)-LN(F16))/3.92</f>
        <v>8.5041888437734272E-3</v>
      </c>
      <c r="K16" s="48">
        <f t="shared" ref="K16:K22" si="5">1/J16^2</f>
        <v>13827.198862182524</v>
      </c>
      <c r="L16" s="48">
        <f t="shared" si="0"/>
        <v>5.422253731986018</v>
      </c>
      <c r="M16" s="48">
        <f t="shared" si="1"/>
        <v>191191428.3743417</v>
      </c>
      <c r="N16" s="32">
        <f t="shared" si="2"/>
        <v>1.7161092806778581E-3</v>
      </c>
      <c r="O16" s="32">
        <f t="shared" ref="O16:O22" si="6">1/N16</f>
        <v>582.71347358776768</v>
      </c>
    </row>
    <row r="17" spans="1:19" x14ac:dyDescent="0.25">
      <c r="A17" s="37" t="s">
        <v>12</v>
      </c>
      <c r="B17" s="38" t="s">
        <v>71</v>
      </c>
      <c r="C17" s="38" t="s">
        <v>72</v>
      </c>
      <c r="D17" s="22"/>
      <c r="E17" s="31">
        <v>1.26</v>
      </c>
      <c r="F17" s="31">
        <v>1.02</v>
      </c>
      <c r="G17" s="31">
        <v>1.54</v>
      </c>
      <c r="H17" s="58"/>
      <c r="I17" s="48">
        <f t="shared" si="3"/>
        <v>0.23111172096338664</v>
      </c>
      <c r="J17" s="48">
        <f t="shared" si="4"/>
        <v>0.10509688498197911</v>
      </c>
      <c r="K17" s="48">
        <f t="shared" si="5"/>
        <v>90.535793454608225</v>
      </c>
      <c r="L17" s="48">
        <f t="shared" si="0"/>
        <v>4.8357546172428885</v>
      </c>
      <c r="M17" s="48">
        <f t="shared" si="1"/>
        <v>8196.7298964554811</v>
      </c>
      <c r="N17" s="32">
        <f t="shared" si="2"/>
        <v>1.2689143285702644E-2</v>
      </c>
      <c r="O17" s="32">
        <f t="shared" si="6"/>
        <v>78.807526834907705</v>
      </c>
    </row>
    <row r="18" spans="1:19" x14ac:dyDescent="0.25">
      <c r="A18" s="37" t="s">
        <v>53</v>
      </c>
      <c r="B18" s="38" t="s">
        <v>73</v>
      </c>
      <c r="C18" s="38" t="s">
        <v>74</v>
      </c>
      <c r="D18" s="22"/>
      <c r="E18" s="31">
        <v>0.86</v>
      </c>
      <c r="F18" s="31">
        <v>0.72</v>
      </c>
      <c r="G18" s="31">
        <v>1.02</v>
      </c>
      <c r="H18" s="58"/>
      <c r="I18" s="48">
        <f t="shared" si="3"/>
        <v>-0.15082288973458366</v>
      </c>
      <c r="J18" s="48">
        <f t="shared" si="4"/>
        <v>8.8853748537810154E-2</v>
      </c>
      <c r="K18" s="48">
        <f t="shared" si="5"/>
        <v>126.66262701112289</v>
      </c>
      <c r="L18" s="48">
        <f t="shared" si="0"/>
        <v>2.8812636896902806</v>
      </c>
      <c r="M18" s="48">
        <f t="shared" si="1"/>
        <v>16043.421081358838</v>
      </c>
      <c r="N18" s="32">
        <f t="shared" si="2"/>
        <v>9.5387766820076974E-3</v>
      </c>
      <c r="O18" s="32">
        <f t="shared" si="6"/>
        <v>104.83524600027879</v>
      </c>
    </row>
    <row r="19" spans="1:19" x14ac:dyDescent="0.25">
      <c r="A19" s="37" t="s">
        <v>54</v>
      </c>
      <c r="B19" s="38" t="s">
        <v>75</v>
      </c>
      <c r="C19" s="38" t="s">
        <v>76</v>
      </c>
      <c r="D19" s="22"/>
      <c r="E19" s="31">
        <v>1.19</v>
      </c>
      <c r="F19" s="31">
        <v>0.91</v>
      </c>
      <c r="G19" s="31">
        <v>1.55</v>
      </c>
      <c r="H19" s="58"/>
      <c r="I19" s="48">
        <f t="shared" si="3"/>
        <v>0.17395330712343798</v>
      </c>
      <c r="J19" s="48">
        <f t="shared" si="4"/>
        <v>0.13585857408224403</v>
      </c>
      <c r="K19" s="48">
        <f t="shared" si="5"/>
        <v>54.178365136572673</v>
      </c>
      <c r="L19" s="48">
        <f t="shared" si="0"/>
        <v>1.6394239501828378</v>
      </c>
      <c r="M19" s="48">
        <f t="shared" si="1"/>
        <v>2935.2952488717933</v>
      </c>
      <c r="N19" s="32">
        <f t="shared" si="2"/>
        <v>2.0101340204447888E-2</v>
      </c>
      <c r="O19" s="32">
        <f t="shared" si="6"/>
        <v>49.74792674663189</v>
      </c>
    </row>
    <row r="20" spans="1:19" x14ac:dyDescent="0.25">
      <c r="A20" s="37" t="s">
        <v>4</v>
      </c>
      <c r="B20" s="38" t="s">
        <v>77</v>
      </c>
      <c r="C20" s="38" t="s">
        <v>78</v>
      </c>
      <c r="D20" s="22"/>
      <c r="E20" s="31">
        <v>0.95</v>
      </c>
      <c r="F20" s="31">
        <v>0.76</v>
      </c>
      <c r="G20" s="31">
        <v>1.2</v>
      </c>
      <c r="H20" s="58"/>
      <c r="I20" s="48">
        <f t="shared" si="3"/>
        <v>-5.1293294387550578E-2</v>
      </c>
      <c r="J20" s="48">
        <f t="shared" si="4"/>
        <v>0.11652000063666196</v>
      </c>
      <c r="K20" s="48">
        <f t="shared" si="5"/>
        <v>73.654458901935243</v>
      </c>
      <c r="L20" s="48">
        <f t="shared" si="0"/>
        <v>0.19378503229840036</v>
      </c>
      <c r="M20" s="48">
        <f t="shared" si="1"/>
        <v>5424.979316136868</v>
      </c>
      <c r="N20" s="32">
        <f t="shared" si="2"/>
        <v>1.5220698601155E-2</v>
      </c>
      <c r="O20" s="32">
        <f t="shared" si="6"/>
        <v>65.700006695101138</v>
      </c>
    </row>
    <row r="21" spans="1:19" x14ac:dyDescent="0.25">
      <c r="A21" s="37" t="s">
        <v>55</v>
      </c>
      <c r="B21" s="38" t="s">
        <v>79</v>
      </c>
      <c r="C21" s="38" t="s">
        <v>76</v>
      </c>
      <c r="D21" s="22"/>
      <c r="E21" s="31">
        <v>1.0249999999999999</v>
      </c>
      <c r="F21" s="31">
        <v>1</v>
      </c>
      <c r="G21" s="31">
        <v>1.0489999999999999</v>
      </c>
      <c r="H21" s="58"/>
      <c r="I21" s="48">
        <f t="shared" si="3"/>
        <v>2.4692612590371414E-2</v>
      </c>
      <c r="J21" s="48">
        <f t="shared" si="4"/>
        <v>1.2203400360755116E-2</v>
      </c>
      <c r="K21" s="48">
        <f t="shared" si="5"/>
        <v>6714.8803868273872</v>
      </c>
      <c r="L21" s="48">
        <f t="shared" si="0"/>
        <v>4.0942312263981933</v>
      </c>
      <c r="M21" s="48">
        <f t="shared" si="1"/>
        <v>45089618.609399118</v>
      </c>
      <c r="N21" s="32">
        <f t="shared" si="2"/>
        <v>1.7927110331521759E-3</v>
      </c>
      <c r="O21" s="32">
        <f t="shared" si="6"/>
        <v>557.81438363865641</v>
      </c>
    </row>
    <row r="22" spans="1:19" ht="13.8" thickBot="1" x14ac:dyDescent="0.3">
      <c r="A22" s="21" t="s">
        <v>7</v>
      </c>
      <c r="B22" s="38" t="s">
        <v>80</v>
      </c>
      <c r="C22" s="38" t="s">
        <v>81</v>
      </c>
      <c r="D22" s="22"/>
      <c r="E22" s="31">
        <v>1.016</v>
      </c>
      <c r="F22" s="31">
        <v>0.97899999999999998</v>
      </c>
      <c r="G22" s="31">
        <v>1.054</v>
      </c>
      <c r="H22" s="58"/>
      <c r="I22" s="48">
        <f t="shared" si="3"/>
        <v>1.5873349156290163E-2</v>
      </c>
      <c r="J22" s="48">
        <f t="shared" si="4"/>
        <v>1.8830634329285029E-2</v>
      </c>
      <c r="K22" s="48">
        <f t="shared" si="5"/>
        <v>2820.1363094104204</v>
      </c>
      <c r="L22" s="48">
        <f t="shared" si="0"/>
        <v>0.71057060685081452</v>
      </c>
      <c r="M22" s="48">
        <f t="shared" si="1"/>
        <v>7953168.8036550265</v>
      </c>
      <c r="N22" s="32">
        <f t="shared" si="2"/>
        <v>1.9983808420305457E-3</v>
      </c>
      <c r="O22" s="32">
        <f t="shared" si="6"/>
        <v>500.4051174669512</v>
      </c>
    </row>
    <row r="23" spans="1:19" s="7" customFormat="1" ht="13.8" thickBot="1" x14ac:dyDescent="0.3">
      <c r="A23" s="39" t="s">
        <v>20</v>
      </c>
      <c r="B23" s="40"/>
      <c r="C23" s="40"/>
      <c r="D23" s="41"/>
      <c r="E23" s="42">
        <f>EXP(I23)</f>
        <v>1.0140096479645526</v>
      </c>
      <c r="F23" s="42">
        <f>EXP(I23+J23*-1.96)</f>
        <v>1.0015048495325427</v>
      </c>
      <c r="G23" s="42">
        <f>EXP(I23+J23*1.96)</f>
        <v>1.0266705814206694</v>
      </c>
      <c r="H23" s="60"/>
      <c r="I23" s="50">
        <f>SUMPRODUCT(I15:I22,K15:K22)/SUM(K15:K22)</f>
        <v>1.3912419881667745E-2</v>
      </c>
      <c r="J23" s="50">
        <f>1/SQRT(SUM(K15:K22))</f>
        <v>6.3309701533247531E-3</v>
      </c>
      <c r="K23" s="51"/>
      <c r="L23" s="52"/>
      <c r="M23" s="52"/>
      <c r="N23" s="44"/>
      <c r="O23" s="44"/>
    </row>
    <row r="24" spans="1:19" s="7" customFormat="1" ht="13.8" thickBot="1" x14ac:dyDescent="0.3">
      <c r="A24" s="39" t="s">
        <v>32</v>
      </c>
      <c r="B24" s="40"/>
      <c r="C24" s="40"/>
      <c r="D24" s="41"/>
      <c r="E24" s="42">
        <f>EXP(I24)</f>
        <v>0.99717439885927528</v>
      </c>
      <c r="F24" s="42">
        <f>EXP(I24-1.96*J24)</f>
        <v>0.95764772208665139</v>
      </c>
      <c r="G24" s="42">
        <f>EXP(I24+1.96*J24)</f>
        <v>1.0383325296004662</v>
      </c>
      <c r="H24" s="60"/>
      <c r="I24" s="50">
        <f>SUMPRODUCT(I15:I22,O15:O22)/SUM(O15:O22)</f>
        <v>-2.829600687487244E-3</v>
      </c>
      <c r="J24" s="50">
        <f>1/SQRT(SUM(O15:O22))</f>
        <v>2.0635556223443013E-2</v>
      </c>
      <c r="K24" s="51"/>
      <c r="L24" s="52"/>
      <c r="M24" s="52"/>
      <c r="N24" s="44"/>
      <c r="O24" s="44"/>
    </row>
    <row r="25" spans="1:19" x14ac:dyDescent="0.25">
      <c r="E25" s="5"/>
      <c r="F25" s="5"/>
      <c r="L25" s="54"/>
      <c r="M25" s="49" t="s">
        <v>27</v>
      </c>
    </row>
    <row r="26" spans="1:19" s="12" customFormat="1" ht="25.2" customHeight="1" x14ac:dyDescent="0.25">
      <c r="A26" s="128" t="s">
        <v>39</v>
      </c>
      <c r="B26" s="26"/>
      <c r="C26" s="26"/>
      <c r="D26" s="9" t="s">
        <v>22</v>
      </c>
      <c r="E26" s="134" t="s">
        <v>38</v>
      </c>
      <c r="F26" s="134"/>
      <c r="G26" s="134"/>
      <c r="H26" s="57"/>
      <c r="I26" s="53"/>
      <c r="J26" s="53"/>
      <c r="K26" s="53"/>
      <c r="L26" s="55" t="s">
        <v>26</v>
      </c>
      <c r="M26" s="53">
        <f>SUM(L15:L22)-SUMPRODUCT(I15:I22,K15:K22)^2/SUM(K15:K22)</f>
        <v>31.816302701984373</v>
      </c>
      <c r="P26"/>
      <c r="Q26"/>
      <c r="R26"/>
      <c r="S26"/>
    </row>
    <row r="27" spans="1:19" s="12" customFormat="1" x14ac:dyDescent="0.25">
      <c r="A27" s="129"/>
      <c r="B27" s="27"/>
      <c r="C27" s="27"/>
      <c r="D27" s="61">
        <f>SUMPRODUCT(I15:I22-$I$23,I15:I22-$I$23,K15:K22)</f>
        <v>31.816302701984366</v>
      </c>
      <c r="E27" s="135">
        <f>_xlfn.CHISQ.DIST.RT(D27,COUNT(E15:E22)-1)</f>
        <v>4.3927337262892074E-5</v>
      </c>
      <c r="F27" s="135"/>
      <c r="G27" s="135"/>
      <c r="H27" s="57"/>
      <c r="I27" s="53"/>
      <c r="J27" s="53"/>
      <c r="K27" s="53"/>
      <c r="L27" s="55" t="s">
        <v>28</v>
      </c>
      <c r="M27" s="53">
        <f>COUNT(E15:E22)-1</f>
        <v>7</v>
      </c>
      <c r="P27"/>
      <c r="Q27"/>
      <c r="R27"/>
      <c r="S27"/>
    </row>
    <row r="28" spans="1:19" s="12" customFormat="1" x14ac:dyDescent="0.25">
      <c r="A28" s="129"/>
      <c r="B28" s="27"/>
      <c r="C28" s="27"/>
      <c r="D28" s="10"/>
      <c r="E28" s="25"/>
      <c r="F28" s="25"/>
      <c r="G28" s="64"/>
      <c r="H28" s="57"/>
      <c r="I28" s="53"/>
      <c r="J28" s="53"/>
      <c r="K28" s="53"/>
      <c r="L28" s="55" t="s">
        <v>29</v>
      </c>
      <c r="M28" s="53">
        <f>MAX(M26-M27,0)</f>
        <v>24.816302701984373</v>
      </c>
      <c r="P28"/>
      <c r="Q28"/>
      <c r="R28"/>
      <c r="S28"/>
    </row>
    <row r="29" spans="1:19" s="12" customFormat="1" x14ac:dyDescent="0.25">
      <c r="A29" s="14"/>
      <c r="B29" s="14"/>
      <c r="C29" s="14"/>
      <c r="D29" s="15"/>
      <c r="E29" s="16"/>
      <c r="F29" s="16"/>
      <c r="G29" s="31"/>
      <c r="H29" s="57"/>
      <c r="I29" s="53"/>
      <c r="J29" s="53"/>
      <c r="K29" s="53"/>
      <c r="L29" s="55" t="s">
        <v>30</v>
      </c>
      <c r="M29" s="53">
        <f>SUM(K15:K22)-SUM(M15:M22)/SUM(K15:K22)</f>
        <v>15097.020969281582</v>
      </c>
      <c r="P29"/>
      <c r="Q29"/>
      <c r="R29"/>
      <c r="S29"/>
    </row>
    <row r="30" spans="1:19" s="12" customFormat="1" x14ac:dyDescent="0.25">
      <c r="A30" s="1"/>
      <c r="B30" s="1"/>
      <c r="C30" s="1"/>
      <c r="D30" s="2"/>
      <c r="E30" s="8"/>
      <c r="F30" s="8"/>
      <c r="G30" s="5"/>
      <c r="H30" s="57"/>
      <c r="I30" s="53"/>
      <c r="J30" s="53"/>
      <c r="K30" s="53"/>
      <c r="L30" s="55" t="s">
        <v>31</v>
      </c>
      <c r="M30" s="53">
        <f>M28/M29</f>
        <v>1.6437880527872977E-3</v>
      </c>
      <c r="P30"/>
      <c r="Q30"/>
      <c r="R30"/>
      <c r="S30"/>
    </row>
    <row r="31" spans="1:19" s="12" customFormat="1" x14ac:dyDescent="0.25">
      <c r="A31" s="18" t="s">
        <v>37</v>
      </c>
      <c r="B31" s="18"/>
      <c r="C31" s="18"/>
      <c r="D31" s="19">
        <f>(D27-COUNT(E15:E22)+1)/D27</f>
        <v>0.77998700648635033</v>
      </c>
      <c r="E31" s="17"/>
      <c r="F31" s="17"/>
      <c r="G31" s="65"/>
      <c r="H31" s="57"/>
      <c r="I31" s="53"/>
      <c r="J31" s="53"/>
      <c r="K31" s="53"/>
      <c r="L31" s="53"/>
      <c r="M31" s="53"/>
      <c r="P31"/>
      <c r="Q31"/>
      <c r="R31"/>
      <c r="S31"/>
    </row>
  </sheetData>
  <mergeCells count="9">
    <mergeCell ref="A26:A28"/>
    <mergeCell ref="E26:G26"/>
    <mergeCell ref="E27:G27"/>
    <mergeCell ref="A1:O1"/>
    <mergeCell ref="A2:O2"/>
    <mergeCell ref="A3:O3"/>
    <mergeCell ref="A4:O4"/>
    <mergeCell ref="E13:G13"/>
    <mergeCell ref="I13:O13"/>
  </mergeCells>
  <pageMargins left="0.5" right="0.25" top="1" bottom="0.25" header="0.5" footer="0.5"/>
  <pageSetup scale="49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44BC-8818-4B05-981C-2AB6441E2EDA}">
  <sheetPr>
    <pageSetUpPr fitToPage="1"/>
  </sheetPr>
  <dimension ref="A1:S31"/>
  <sheetViews>
    <sheetView zoomScaleNormal="100" workbookViewId="0">
      <selection sqref="A1:O1"/>
    </sheetView>
  </sheetViews>
  <sheetFormatPr defaultRowHeight="13.2" x14ac:dyDescent="0.25"/>
  <cols>
    <col min="1" max="1" width="45.44140625" style="1" customWidth="1"/>
    <col min="2" max="2" width="25.33203125" style="1" customWidth="1"/>
    <col min="3" max="3" width="22.21875" style="1" customWidth="1"/>
    <col min="4" max="4" width="23.77734375" style="2" customWidth="1"/>
    <col min="5" max="6" width="8.6640625" style="8" customWidth="1"/>
    <col min="7" max="7" width="8.5546875" style="5" customWidth="1"/>
    <col min="8" max="8" width="10.6640625" style="57" customWidth="1"/>
    <col min="9" max="11" width="21.6640625" style="53" customWidth="1"/>
    <col min="12" max="12" width="11.88671875" style="53" customWidth="1"/>
    <col min="13" max="13" width="14.6640625" style="53" bestFit="1" customWidth="1"/>
    <col min="14" max="14" width="8.6640625" style="12" customWidth="1"/>
    <col min="15" max="15" width="16.109375" style="12" customWidth="1"/>
    <col min="16" max="16" width="10.6640625" customWidth="1"/>
    <col min="17" max="17" width="10.5546875" customWidth="1"/>
    <col min="18" max="20" width="8.6640625" customWidth="1"/>
  </cols>
  <sheetData>
    <row r="1" spans="1:19" ht="17.399999999999999" x14ac:dyDescent="0.3">
      <c r="A1" s="146" t="s">
        <v>179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9" ht="15.6" x14ac:dyDescent="0.3">
      <c r="A2" s="145" t="s">
        <v>95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9" ht="15.6" x14ac:dyDescent="0.3">
      <c r="A3" s="145" t="s">
        <v>175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9" ht="14.4" x14ac:dyDescent="0.3">
      <c r="A4" s="144" t="s">
        <v>56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9" ht="15.6" x14ac:dyDescent="0.3">
      <c r="A5" s="117"/>
      <c r="B5" s="117"/>
      <c r="C5" s="117"/>
      <c r="D5" s="117"/>
      <c r="E5" s="117"/>
      <c r="F5" s="117"/>
      <c r="G5" s="62"/>
      <c r="H5" s="56"/>
      <c r="I5" s="56"/>
      <c r="J5" s="56"/>
      <c r="K5" s="56"/>
      <c r="L5" s="56"/>
      <c r="M5" s="56"/>
      <c r="N5" s="117"/>
      <c r="O5" s="117"/>
    </row>
    <row r="6" spans="1:19" ht="15.6" x14ac:dyDescent="0.3">
      <c r="A6" s="20" t="s">
        <v>42</v>
      </c>
      <c r="B6" s="20"/>
      <c r="C6" s="20"/>
      <c r="D6" s="117"/>
      <c r="E6" s="117"/>
      <c r="F6" s="117"/>
      <c r="G6" s="62"/>
      <c r="H6" s="56"/>
      <c r="I6" s="56"/>
      <c r="J6" s="56"/>
      <c r="K6" s="56"/>
      <c r="L6" s="56"/>
      <c r="M6" s="56"/>
      <c r="N6" s="117"/>
      <c r="O6" s="117"/>
    </row>
    <row r="7" spans="1:19" ht="13.8" x14ac:dyDescent="0.3">
      <c r="A7" s="29" t="s">
        <v>189</v>
      </c>
      <c r="B7" s="29"/>
      <c r="C7" s="29"/>
    </row>
    <row r="8" spans="1:19" ht="13.8" x14ac:dyDescent="0.3">
      <c r="A8" s="29" t="s">
        <v>44</v>
      </c>
      <c r="B8" s="29"/>
      <c r="C8" s="29"/>
      <c r="D8" s="22"/>
      <c r="E8" s="16"/>
      <c r="F8" s="16"/>
      <c r="G8" s="31"/>
      <c r="H8" s="58"/>
      <c r="I8" s="48"/>
      <c r="J8" s="48"/>
      <c r="K8" s="48"/>
      <c r="L8" s="48"/>
      <c r="M8" s="48"/>
      <c r="N8" s="32"/>
      <c r="O8" s="32"/>
    </row>
    <row r="9" spans="1:19" ht="13.8" x14ac:dyDescent="0.3">
      <c r="A9" s="30" t="s">
        <v>45</v>
      </c>
      <c r="B9" s="30"/>
      <c r="C9" s="30"/>
      <c r="D9" s="22"/>
      <c r="E9" s="16"/>
      <c r="F9" s="16"/>
      <c r="G9" s="31"/>
      <c r="H9" s="58"/>
      <c r="I9" s="48"/>
      <c r="J9" s="48"/>
      <c r="K9" s="48"/>
      <c r="L9" s="48"/>
      <c r="M9" s="48"/>
      <c r="N9" s="32"/>
      <c r="O9" s="32"/>
    </row>
    <row r="10" spans="1:19" ht="13.8" x14ac:dyDescent="0.3">
      <c r="A10" s="30" t="s">
        <v>46</v>
      </c>
      <c r="B10" s="30"/>
      <c r="C10" s="30"/>
      <c r="D10" s="22"/>
      <c r="E10" s="16"/>
      <c r="F10" s="16"/>
      <c r="G10" s="31"/>
      <c r="H10" s="58"/>
      <c r="I10" s="48"/>
      <c r="J10" s="48"/>
      <c r="K10" s="48"/>
      <c r="L10" s="48"/>
      <c r="M10" s="48"/>
      <c r="N10" s="32"/>
      <c r="O10" s="32"/>
    </row>
    <row r="11" spans="1:19" ht="13.8" x14ac:dyDescent="0.3">
      <c r="A11" s="30" t="s">
        <v>47</v>
      </c>
      <c r="B11" s="30"/>
      <c r="C11" s="30"/>
      <c r="D11" s="22"/>
      <c r="E11" s="16"/>
      <c r="F11" s="16"/>
      <c r="G11" s="31"/>
      <c r="H11" s="58"/>
      <c r="I11" s="48"/>
      <c r="J11" s="48"/>
      <c r="K11" s="48"/>
      <c r="L11" s="48"/>
      <c r="M11" s="48"/>
      <c r="N11" s="32"/>
      <c r="O11" s="32"/>
    </row>
    <row r="12" spans="1:19" ht="13.8" x14ac:dyDescent="0.3">
      <c r="A12" s="30" t="s">
        <v>48</v>
      </c>
      <c r="B12" s="30"/>
      <c r="C12" s="30"/>
      <c r="D12" s="22"/>
      <c r="E12" s="16"/>
      <c r="F12" s="16"/>
      <c r="G12" s="31"/>
      <c r="H12" s="58"/>
      <c r="I12" s="48"/>
      <c r="J12" s="48"/>
      <c r="K12" s="48"/>
      <c r="L12" s="48"/>
      <c r="M12" s="48"/>
      <c r="N12" s="32"/>
      <c r="O12" s="32"/>
    </row>
    <row r="13" spans="1:19" ht="22.2" customHeight="1" thickBot="1" x14ac:dyDescent="0.3">
      <c r="A13" s="21"/>
      <c r="B13" s="21"/>
      <c r="C13" s="21"/>
      <c r="D13" s="22"/>
      <c r="E13" s="132" t="s">
        <v>21</v>
      </c>
      <c r="F13" s="132"/>
      <c r="G13" s="132"/>
      <c r="H13" s="58"/>
      <c r="I13" s="132" t="s">
        <v>34</v>
      </c>
      <c r="J13" s="132"/>
      <c r="K13" s="132"/>
      <c r="L13" s="132"/>
      <c r="M13" s="132"/>
      <c r="N13" s="132"/>
      <c r="O13" s="132"/>
    </row>
    <row r="14" spans="1:19" ht="46.8" customHeight="1" thickBot="1" x14ac:dyDescent="0.3">
      <c r="A14" s="33" t="s">
        <v>63</v>
      </c>
      <c r="B14" s="34" t="s">
        <v>83</v>
      </c>
      <c r="C14" s="34" t="s">
        <v>82</v>
      </c>
      <c r="D14" s="22"/>
      <c r="E14" s="35" t="s">
        <v>0</v>
      </c>
      <c r="F14" s="35" t="s">
        <v>1</v>
      </c>
      <c r="G14" s="63" t="s">
        <v>2</v>
      </c>
      <c r="H14" s="59"/>
      <c r="I14" s="49" t="s">
        <v>19</v>
      </c>
      <c r="J14" s="49" t="s">
        <v>18</v>
      </c>
      <c r="K14" s="49" t="s">
        <v>35</v>
      </c>
      <c r="L14" s="49" t="s">
        <v>23</v>
      </c>
      <c r="M14" s="49" t="s">
        <v>24</v>
      </c>
      <c r="N14" s="13" t="s">
        <v>25</v>
      </c>
      <c r="O14" s="13" t="s">
        <v>33</v>
      </c>
      <c r="Q14" s="6"/>
      <c r="R14" s="6"/>
      <c r="S14" s="6"/>
    </row>
    <row r="15" spans="1:19" ht="13.8" thickTop="1" x14ac:dyDescent="0.25">
      <c r="A15" s="37" t="s">
        <v>51</v>
      </c>
      <c r="B15" s="38" t="s">
        <v>66</v>
      </c>
      <c r="C15" s="38" t="s">
        <v>67</v>
      </c>
      <c r="D15" s="22"/>
      <c r="E15" s="31">
        <v>0.89</v>
      </c>
      <c r="F15" s="31">
        <v>0.85</v>
      </c>
      <c r="G15" s="31">
        <v>0.95</v>
      </c>
      <c r="H15" s="58"/>
      <c r="I15" s="48">
        <f>LN(E15)</f>
        <v>-0.11653381625595151</v>
      </c>
      <c r="J15" s="48">
        <f>(LN(G15)-LN(F15))/3.92</f>
        <v>2.8373886507710295E-2</v>
      </c>
      <c r="K15" s="48">
        <f>1/J15^2</f>
        <v>1242.1165416390345</v>
      </c>
      <c r="L15" s="48">
        <f t="shared" ref="L15:L22" si="0">(I15^2)*K15</f>
        <v>16.868104521967524</v>
      </c>
      <c r="M15" s="48">
        <f t="shared" ref="M15:M22" si="1">K15^2</f>
        <v>1542853.5030133154</v>
      </c>
      <c r="N15" s="32">
        <f t="shared" ref="N15:N22" si="2">J15^2 + $M$30</f>
        <v>2.9033027221097222E-3</v>
      </c>
      <c r="O15" s="32">
        <f>1/N15</f>
        <v>344.43531926058927</v>
      </c>
    </row>
    <row r="16" spans="1:19" x14ac:dyDescent="0.25">
      <c r="A16" s="71" t="s">
        <v>176</v>
      </c>
      <c r="B16" s="75" t="s">
        <v>70</v>
      </c>
      <c r="C16" s="75" t="s">
        <v>152</v>
      </c>
      <c r="D16" s="22"/>
      <c r="E16" s="5">
        <v>1.0229999999999999</v>
      </c>
      <c r="F16" s="5">
        <v>0.997</v>
      </c>
      <c r="G16" s="31">
        <v>1.0489999999999999</v>
      </c>
      <c r="H16" s="58"/>
      <c r="I16" s="48">
        <f t="shared" ref="I16:I22" si="3">LN(E16)</f>
        <v>2.2739486969489339E-2</v>
      </c>
      <c r="J16" s="48">
        <f t="shared" ref="J16:J22" si="4">(LN(G16)-LN(F16))/3.92</f>
        <v>1.2969856743484384E-2</v>
      </c>
      <c r="K16" s="48">
        <f t="shared" ref="K16:K22" si="5">1/J16^2</f>
        <v>5944.6958779074412</v>
      </c>
      <c r="L16" s="48">
        <f t="shared" si="0"/>
        <v>3.0739087143439936</v>
      </c>
      <c r="M16" s="48">
        <f t="shared" si="1"/>
        <v>35339409.08080972</v>
      </c>
      <c r="N16" s="32">
        <f t="shared" si="2"/>
        <v>2.2664424705038052E-3</v>
      </c>
      <c r="O16" s="32">
        <f t="shared" ref="O16:O22" si="6">1/N16</f>
        <v>441.2201117011856</v>
      </c>
    </row>
    <row r="17" spans="1:19" x14ac:dyDescent="0.25">
      <c r="A17" s="37" t="s">
        <v>12</v>
      </c>
      <c r="B17" s="38" t="s">
        <v>71</v>
      </c>
      <c r="C17" s="38" t="s">
        <v>72</v>
      </c>
      <c r="D17" s="22"/>
      <c r="E17" s="31">
        <v>1.26</v>
      </c>
      <c r="F17" s="31">
        <v>1.02</v>
      </c>
      <c r="G17" s="31">
        <v>1.54</v>
      </c>
      <c r="H17" s="58"/>
      <c r="I17" s="48">
        <f t="shared" si="3"/>
        <v>0.23111172096338664</v>
      </c>
      <c r="J17" s="48">
        <f t="shared" si="4"/>
        <v>0.10509688498197911</v>
      </c>
      <c r="K17" s="48">
        <f t="shared" si="5"/>
        <v>90.535793454608225</v>
      </c>
      <c r="L17" s="48">
        <f t="shared" si="0"/>
        <v>4.8357546172428885</v>
      </c>
      <c r="M17" s="48">
        <f t="shared" si="1"/>
        <v>8196.7298964554811</v>
      </c>
      <c r="N17" s="32">
        <f t="shared" si="2"/>
        <v>1.3143580519472644E-2</v>
      </c>
      <c r="O17" s="32">
        <f t="shared" si="6"/>
        <v>76.082768962267721</v>
      </c>
    </row>
    <row r="18" spans="1:19" x14ac:dyDescent="0.25">
      <c r="A18" s="37" t="s">
        <v>53</v>
      </c>
      <c r="B18" s="38" t="s">
        <v>73</v>
      </c>
      <c r="C18" s="38" t="s">
        <v>74</v>
      </c>
      <c r="D18" s="22"/>
      <c r="E18" s="31">
        <v>0.86</v>
      </c>
      <c r="F18" s="31">
        <v>0.72</v>
      </c>
      <c r="G18" s="31">
        <v>1.02</v>
      </c>
      <c r="H18" s="58"/>
      <c r="I18" s="48">
        <f t="shared" si="3"/>
        <v>-0.15082288973458366</v>
      </c>
      <c r="J18" s="48">
        <f t="shared" si="4"/>
        <v>8.8853748537810154E-2</v>
      </c>
      <c r="K18" s="48">
        <f t="shared" si="5"/>
        <v>126.66262701112289</v>
      </c>
      <c r="L18" s="48">
        <f t="shared" si="0"/>
        <v>2.8812636896902806</v>
      </c>
      <c r="M18" s="48">
        <f t="shared" si="1"/>
        <v>16043.421081358838</v>
      </c>
      <c r="N18" s="32">
        <f t="shared" si="2"/>
        <v>9.9932139157776975E-3</v>
      </c>
      <c r="O18" s="32">
        <f t="shared" si="6"/>
        <v>100.06790692443387</v>
      </c>
    </row>
    <row r="19" spans="1:19" x14ac:dyDescent="0.25">
      <c r="A19" s="37" t="s">
        <v>54</v>
      </c>
      <c r="B19" s="38" t="s">
        <v>75</v>
      </c>
      <c r="C19" s="38" t="s">
        <v>76</v>
      </c>
      <c r="D19" s="22"/>
      <c r="E19" s="31">
        <v>1.19</v>
      </c>
      <c r="F19" s="31">
        <v>0.91</v>
      </c>
      <c r="G19" s="31">
        <v>1.55</v>
      </c>
      <c r="H19" s="58"/>
      <c r="I19" s="48">
        <f t="shared" si="3"/>
        <v>0.17395330712343798</v>
      </c>
      <c r="J19" s="48">
        <f t="shared" si="4"/>
        <v>0.13585857408224403</v>
      </c>
      <c r="K19" s="48">
        <f t="shared" si="5"/>
        <v>54.178365136572673</v>
      </c>
      <c r="L19" s="48">
        <f t="shared" si="0"/>
        <v>1.6394239501828378</v>
      </c>
      <c r="M19" s="48">
        <f t="shared" si="1"/>
        <v>2935.2952488717933</v>
      </c>
      <c r="N19" s="32">
        <f t="shared" si="2"/>
        <v>2.0555777438217886E-2</v>
      </c>
      <c r="O19" s="32">
        <f t="shared" si="6"/>
        <v>48.648123526613574</v>
      </c>
    </row>
    <row r="20" spans="1:19" x14ac:dyDescent="0.25">
      <c r="A20" s="37" t="s">
        <v>4</v>
      </c>
      <c r="B20" s="38" t="s">
        <v>77</v>
      </c>
      <c r="C20" s="38" t="s">
        <v>78</v>
      </c>
      <c r="D20" s="22"/>
      <c r="E20" s="31">
        <v>0.95</v>
      </c>
      <c r="F20" s="31">
        <v>0.76</v>
      </c>
      <c r="G20" s="31">
        <v>1.2</v>
      </c>
      <c r="H20" s="58"/>
      <c r="I20" s="48">
        <f t="shared" si="3"/>
        <v>-5.1293294387550578E-2</v>
      </c>
      <c r="J20" s="48">
        <f t="shared" si="4"/>
        <v>0.11652000063666196</v>
      </c>
      <c r="K20" s="48">
        <f t="shared" si="5"/>
        <v>73.654458901935243</v>
      </c>
      <c r="L20" s="48">
        <f t="shared" si="0"/>
        <v>0.19378503229840036</v>
      </c>
      <c r="M20" s="48">
        <f t="shared" si="1"/>
        <v>5424.979316136868</v>
      </c>
      <c r="N20" s="32">
        <f t="shared" si="2"/>
        <v>1.5675135834925E-2</v>
      </c>
      <c r="O20" s="32">
        <f t="shared" si="6"/>
        <v>63.795300438287057</v>
      </c>
    </row>
    <row r="21" spans="1:19" x14ac:dyDescent="0.25">
      <c r="A21" s="37" t="s">
        <v>55</v>
      </c>
      <c r="B21" s="38" t="s">
        <v>79</v>
      </c>
      <c r="C21" s="38" t="s">
        <v>76</v>
      </c>
      <c r="D21" s="22"/>
      <c r="E21" s="31">
        <v>1.0249999999999999</v>
      </c>
      <c r="F21" s="31">
        <v>1</v>
      </c>
      <c r="G21" s="31">
        <v>1.0489999999999999</v>
      </c>
      <c r="H21" s="58"/>
      <c r="I21" s="48">
        <f t="shared" si="3"/>
        <v>2.4692612590371414E-2</v>
      </c>
      <c r="J21" s="48">
        <f t="shared" si="4"/>
        <v>1.2203400360755116E-2</v>
      </c>
      <c r="K21" s="48">
        <f t="shared" si="5"/>
        <v>6714.8803868273872</v>
      </c>
      <c r="L21" s="48">
        <f t="shared" si="0"/>
        <v>4.0942312263981933</v>
      </c>
      <c r="M21" s="48">
        <f t="shared" si="1"/>
        <v>45089618.609399118</v>
      </c>
      <c r="N21" s="32">
        <f t="shared" si="2"/>
        <v>2.2471482669221758E-3</v>
      </c>
      <c r="O21" s="32">
        <f t="shared" si="6"/>
        <v>445.00846460374322</v>
      </c>
    </row>
    <row r="22" spans="1:19" ht="13.8" thickBot="1" x14ac:dyDescent="0.3">
      <c r="A22" s="21" t="s">
        <v>7</v>
      </c>
      <c r="B22" s="38" t="s">
        <v>80</v>
      </c>
      <c r="C22" s="38" t="s">
        <v>81</v>
      </c>
      <c r="D22" s="22"/>
      <c r="E22" s="31">
        <v>1.016</v>
      </c>
      <c r="F22" s="31">
        <v>0.97899999999999998</v>
      </c>
      <c r="G22" s="31">
        <v>1.054</v>
      </c>
      <c r="H22" s="58"/>
      <c r="I22" s="48">
        <f t="shared" si="3"/>
        <v>1.5873349156290163E-2</v>
      </c>
      <c r="J22" s="48">
        <f t="shared" si="4"/>
        <v>1.8830634329285029E-2</v>
      </c>
      <c r="K22" s="48">
        <f t="shared" si="5"/>
        <v>2820.1363094104204</v>
      </c>
      <c r="L22" s="48">
        <f t="shared" si="0"/>
        <v>0.71057060685081452</v>
      </c>
      <c r="M22" s="48">
        <f t="shared" si="1"/>
        <v>7953168.8036550265</v>
      </c>
      <c r="N22" s="32">
        <f t="shared" si="2"/>
        <v>2.4528180758005458E-3</v>
      </c>
      <c r="O22" s="32">
        <f t="shared" si="6"/>
        <v>407.69432102037246</v>
      </c>
    </row>
    <row r="23" spans="1:19" s="7" customFormat="1" ht="13.8" thickBot="1" x14ac:dyDescent="0.3">
      <c r="A23" s="39" t="s">
        <v>20</v>
      </c>
      <c r="B23" s="40"/>
      <c r="C23" s="40"/>
      <c r="D23" s="41"/>
      <c r="E23" s="42">
        <f>EXP(I23)</f>
        <v>1.0122898359235399</v>
      </c>
      <c r="F23" s="42">
        <f>EXP(I23+J23*-1.96)</f>
        <v>0.99721577262699079</v>
      </c>
      <c r="G23" s="42">
        <f>EXP(I23+J23*1.96)</f>
        <v>1.0275917610234278</v>
      </c>
      <c r="H23" s="60"/>
      <c r="I23" s="50">
        <f>SUMPRODUCT(I15:I22,K15:K22)/SUM(K15:K22)</f>
        <v>1.2214928994803535E-2</v>
      </c>
      <c r="J23" s="50">
        <f>1/SQRT(SUM(K15:K22))</f>
        <v>7.6546120093229017E-3</v>
      </c>
      <c r="K23" s="51"/>
      <c r="L23" s="52"/>
      <c r="M23" s="52"/>
      <c r="N23" s="44"/>
      <c r="O23" s="44"/>
    </row>
    <row r="24" spans="1:19" s="7" customFormat="1" ht="13.8" thickBot="1" x14ac:dyDescent="0.3">
      <c r="A24" s="39" t="s">
        <v>32</v>
      </c>
      <c r="B24" s="40"/>
      <c r="C24" s="40"/>
      <c r="D24" s="41"/>
      <c r="E24" s="42">
        <f>EXP(I24)</f>
        <v>0.99742721228776399</v>
      </c>
      <c r="F24" s="42">
        <f>EXP(I24-1.96*J24)</f>
        <v>0.95387178582651977</v>
      </c>
      <c r="G24" s="42">
        <f>EXP(I24+1.96*J24)</f>
        <v>1.0429714544393445</v>
      </c>
      <c r="H24" s="60"/>
      <c r="I24" s="50">
        <f>SUMPRODUCT(I15:I22,O15:O22)/SUM(O15:O22)</f>
        <v>-2.5761030181485063E-3</v>
      </c>
      <c r="J24" s="50">
        <f>1/SQRT(SUM(O15:O22))</f>
        <v>2.2780566304065681E-2</v>
      </c>
      <c r="K24" s="51"/>
      <c r="L24" s="52"/>
      <c r="M24" s="52"/>
      <c r="N24" s="44"/>
      <c r="O24" s="44"/>
    </row>
    <row r="25" spans="1:19" x14ac:dyDescent="0.25">
      <c r="E25" s="5"/>
      <c r="F25" s="5"/>
      <c r="L25" s="54"/>
      <c r="M25" s="49" t="s">
        <v>27</v>
      </c>
    </row>
    <row r="26" spans="1:19" s="12" customFormat="1" ht="25.2" customHeight="1" x14ac:dyDescent="0.25">
      <c r="A26" s="128" t="s">
        <v>39</v>
      </c>
      <c r="B26" s="113"/>
      <c r="C26" s="113"/>
      <c r="D26" s="9" t="s">
        <v>22</v>
      </c>
      <c r="E26" s="134" t="s">
        <v>38</v>
      </c>
      <c r="F26" s="134"/>
      <c r="G26" s="134"/>
      <c r="H26" s="57"/>
      <c r="I26" s="53"/>
      <c r="J26" s="53"/>
      <c r="K26" s="53"/>
      <c r="L26" s="55" t="s">
        <v>26</v>
      </c>
      <c r="M26" s="53">
        <f>SUM(L15:L22)-SUMPRODUCT(I15:I22,K15:K22)^2/SUM(K15:K22)</f>
        <v>31.750590157076029</v>
      </c>
      <c r="P26"/>
      <c r="Q26"/>
      <c r="R26"/>
      <c r="S26"/>
    </row>
    <row r="27" spans="1:19" s="12" customFormat="1" x14ac:dyDescent="0.25">
      <c r="A27" s="129"/>
      <c r="B27" s="114"/>
      <c r="C27" s="114"/>
      <c r="D27" s="115">
        <f>SUMPRODUCT(I15:I22-$I$23,I15:I22-$I$23,K15:K22)</f>
        <v>31.750590157076036</v>
      </c>
      <c r="E27" s="135">
        <f>_xlfn.CHISQ.DIST.RT(D27,COUNT(E15:E22)-1)</f>
        <v>4.5175569924133285E-5</v>
      </c>
      <c r="F27" s="135"/>
      <c r="G27" s="135"/>
      <c r="H27" s="57"/>
      <c r="I27" s="53"/>
      <c r="J27" s="53"/>
      <c r="K27" s="53"/>
      <c r="L27" s="55" t="s">
        <v>28</v>
      </c>
      <c r="M27" s="53">
        <f>COUNT(E15:E22)-1</f>
        <v>7</v>
      </c>
      <c r="P27"/>
      <c r="Q27"/>
      <c r="R27"/>
      <c r="S27"/>
    </row>
    <row r="28" spans="1:19" s="12" customFormat="1" x14ac:dyDescent="0.25">
      <c r="A28" s="129"/>
      <c r="B28" s="114"/>
      <c r="C28" s="114"/>
      <c r="D28" s="10"/>
      <c r="E28" s="116"/>
      <c r="F28" s="116"/>
      <c r="G28" s="64"/>
      <c r="H28" s="57"/>
      <c r="I28" s="53"/>
      <c r="J28" s="53"/>
      <c r="K28" s="53"/>
      <c r="L28" s="55" t="s">
        <v>29</v>
      </c>
      <c r="M28" s="53">
        <f>MAX(M26-M27,0)</f>
        <v>24.750590157076029</v>
      </c>
      <c r="P28"/>
      <c r="Q28"/>
      <c r="R28"/>
      <c r="S28"/>
    </row>
    <row r="29" spans="1:19" s="12" customFormat="1" x14ac:dyDescent="0.25">
      <c r="A29" s="14"/>
      <c r="B29" s="14"/>
      <c r="C29" s="14"/>
      <c r="D29" s="15"/>
      <c r="E29" s="16"/>
      <c r="F29" s="16"/>
      <c r="G29" s="31"/>
      <c r="H29" s="57"/>
      <c r="I29" s="53"/>
      <c r="J29" s="53"/>
      <c r="K29" s="53"/>
      <c r="L29" s="55" t="s">
        <v>30</v>
      </c>
      <c r="M29" s="53">
        <f>SUM(K15:K22)-SUM(M15:M22)/SUM(K15:K22)</f>
        <v>11795.96410149361</v>
      </c>
      <c r="P29"/>
      <c r="Q29"/>
      <c r="R29"/>
      <c r="S29"/>
    </row>
    <row r="30" spans="1:19" s="12" customFormat="1" x14ac:dyDescent="0.25">
      <c r="A30" s="1"/>
      <c r="B30" s="1"/>
      <c r="C30" s="1"/>
      <c r="D30" s="2"/>
      <c r="E30" s="8"/>
      <c r="F30" s="8"/>
      <c r="G30" s="5"/>
      <c r="H30" s="57"/>
      <c r="I30" s="53"/>
      <c r="J30" s="53"/>
      <c r="K30" s="53"/>
      <c r="L30" s="55" t="s">
        <v>31</v>
      </c>
      <c r="M30" s="53">
        <f>M28/M29</f>
        <v>2.0982252865572979E-3</v>
      </c>
      <c r="P30"/>
      <c r="Q30"/>
      <c r="R30"/>
      <c r="S30"/>
    </row>
    <row r="31" spans="1:19" s="12" customFormat="1" x14ac:dyDescent="0.25">
      <c r="A31" s="18" t="s">
        <v>37</v>
      </c>
      <c r="B31" s="18"/>
      <c r="C31" s="18"/>
      <c r="D31" s="19">
        <f>(D27-COUNT(E15:E22)+1)/D27</f>
        <v>0.77953165703787841</v>
      </c>
      <c r="E31" s="17"/>
      <c r="F31" s="17"/>
      <c r="G31" s="65"/>
      <c r="H31" s="57"/>
      <c r="I31" s="53"/>
      <c r="J31" s="53"/>
      <c r="K31" s="53"/>
      <c r="L31" s="53"/>
      <c r="M31" s="53"/>
      <c r="P31"/>
      <c r="Q31"/>
      <c r="R31"/>
      <c r="S31"/>
    </row>
  </sheetData>
  <mergeCells count="9">
    <mergeCell ref="A26:A28"/>
    <mergeCell ref="E26:G26"/>
    <mergeCell ref="E27:G27"/>
    <mergeCell ref="A1:O1"/>
    <mergeCell ref="A2:O2"/>
    <mergeCell ref="A3:O3"/>
    <mergeCell ref="A4:O4"/>
    <mergeCell ref="E13:G13"/>
    <mergeCell ref="I13:O13"/>
  </mergeCells>
  <pageMargins left="0.5" right="0.25" top="1" bottom="0.25" header="0.5" footer="0.5"/>
  <pageSetup scale="49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159B-EA7A-4845-B191-84390894FF29}">
  <sheetPr>
    <pageSetUpPr fitToPage="1"/>
  </sheetPr>
  <dimension ref="A1:S29"/>
  <sheetViews>
    <sheetView zoomScaleNormal="100" workbookViewId="0">
      <selection sqref="A1:O1"/>
    </sheetView>
  </sheetViews>
  <sheetFormatPr defaultRowHeight="13.2" x14ac:dyDescent="0.25"/>
  <cols>
    <col min="1" max="1" width="42.5546875" style="1" customWidth="1"/>
    <col min="2" max="3" width="16.109375" style="1" customWidth="1"/>
    <col min="4" max="4" width="24.5546875" style="2" customWidth="1"/>
    <col min="5" max="6" width="8.6640625" style="8" customWidth="1"/>
    <col min="7" max="7" width="8.5546875" style="5" customWidth="1"/>
    <col min="8" max="8" width="10.6640625" style="57" customWidth="1"/>
    <col min="9" max="11" width="21.6640625" style="53" customWidth="1"/>
    <col min="12" max="12" width="11.88671875" style="53" customWidth="1"/>
    <col min="13" max="13" width="14.6640625" style="53" bestFit="1" customWidth="1"/>
    <col min="14" max="14" width="8.6640625" style="12" customWidth="1"/>
    <col min="15" max="15" width="16.109375" style="12" customWidth="1"/>
    <col min="16" max="16" width="10.6640625" customWidth="1"/>
    <col min="17" max="17" width="10.5546875" customWidth="1"/>
    <col min="18" max="20" width="8.6640625" customWidth="1"/>
  </cols>
  <sheetData>
    <row r="1" spans="1:19" ht="17.399999999999999" x14ac:dyDescent="0.3">
      <c r="A1" s="146" t="s">
        <v>178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9" ht="15.6" x14ac:dyDescent="0.3">
      <c r="A2" s="145" t="s">
        <v>95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9" ht="15.6" x14ac:dyDescent="0.3">
      <c r="A3" s="145" t="s">
        <v>104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9" ht="15.6" x14ac:dyDescent="0.3">
      <c r="A4" s="24"/>
      <c r="B4" s="28"/>
      <c r="C4" s="28"/>
      <c r="D4" s="24"/>
      <c r="E4" s="24"/>
      <c r="F4" s="24"/>
      <c r="G4" s="62"/>
      <c r="H4" s="56"/>
      <c r="I4" s="56"/>
      <c r="J4" s="56"/>
      <c r="K4" s="56"/>
      <c r="L4" s="56"/>
      <c r="M4" s="56"/>
      <c r="N4" s="24"/>
      <c r="O4" s="24"/>
    </row>
    <row r="5" spans="1:19" ht="15.6" x14ac:dyDescent="0.3">
      <c r="A5" s="20" t="s">
        <v>42</v>
      </c>
      <c r="B5" s="20"/>
      <c r="C5" s="20"/>
      <c r="D5" s="24"/>
      <c r="E5" s="24"/>
      <c r="F5" s="24"/>
      <c r="G5" s="62"/>
      <c r="H5" s="56"/>
      <c r="I5" s="56"/>
      <c r="J5" s="56"/>
      <c r="K5" s="56"/>
      <c r="L5" s="56"/>
      <c r="M5" s="56"/>
      <c r="N5" s="24"/>
      <c r="O5" s="24"/>
    </row>
    <row r="6" spans="1:19" ht="13.8" x14ac:dyDescent="0.3">
      <c r="A6" s="29" t="s">
        <v>189</v>
      </c>
      <c r="B6" s="29"/>
      <c r="C6" s="29"/>
    </row>
    <row r="7" spans="1:19" ht="13.8" x14ac:dyDescent="0.3">
      <c r="A7" s="29" t="s">
        <v>44</v>
      </c>
      <c r="B7" s="29"/>
      <c r="C7" s="29"/>
      <c r="D7" s="22"/>
      <c r="E7" s="16"/>
      <c r="F7" s="16"/>
      <c r="G7" s="31"/>
      <c r="H7" s="58"/>
      <c r="I7" s="48"/>
      <c r="J7" s="48"/>
      <c r="K7" s="48"/>
      <c r="L7" s="48"/>
      <c r="M7" s="48"/>
      <c r="N7" s="32"/>
      <c r="O7" s="32"/>
    </row>
    <row r="8" spans="1:19" ht="13.8" x14ac:dyDescent="0.3">
      <c r="A8" s="30" t="s">
        <v>45</v>
      </c>
      <c r="B8" s="30"/>
      <c r="C8" s="30"/>
      <c r="D8" s="22"/>
      <c r="E8" s="16"/>
      <c r="F8" s="16"/>
      <c r="G8" s="31"/>
      <c r="H8" s="58"/>
      <c r="I8" s="48"/>
      <c r="J8" s="48"/>
      <c r="K8" s="48"/>
      <c r="L8" s="48"/>
      <c r="M8" s="48"/>
      <c r="N8" s="32"/>
      <c r="O8" s="32"/>
    </row>
    <row r="9" spans="1:19" ht="13.8" x14ac:dyDescent="0.3">
      <c r="A9" s="30" t="s">
        <v>46</v>
      </c>
      <c r="B9" s="30"/>
      <c r="C9" s="30"/>
      <c r="D9" s="22"/>
      <c r="E9" s="16"/>
      <c r="F9" s="16"/>
      <c r="G9" s="31"/>
      <c r="H9" s="58"/>
      <c r="I9" s="48"/>
      <c r="J9" s="48"/>
      <c r="K9" s="48"/>
      <c r="L9" s="48"/>
      <c r="M9" s="48"/>
      <c r="N9" s="32"/>
      <c r="O9" s="32"/>
    </row>
    <row r="10" spans="1:19" ht="13.8" x14ac:dyDescent="0.3">
      <c r="A10" s="30" t="s">
        <v>47</v>
      </c>
      <c r="B10" s="30"/>
      <c r="C10" s="30"/>
      <c r="D10" s="22"/>
      <c r="E10" s="16"/>
      <c r="F10" s="16"/>
      <c r="G10" s="31"/>
      <c r="H10" s="58"/>
      <c r="I10" s="48"/>
      <c r="J10" s="48"/>
      <c r="K10" s="48"/>
      <c r="L10" s="48"/>
      <c r="M10" s="48"/>
      <c r="N10" s="32"/>
      <c r="O10" s="32"/>
    </row>
    <row r="11" spans="1:19" ht="13.8" x14ac:dyDescent="0.3">
      <c r="A11" s="30" t="s">
        <v>48</v>
      </c>
      <c r="B11" s="30"/>
      <c r="C11" s="30"/>
      <c r="D11" s="22"/>
      <c r="E11" s="16"/>
      <c r="F11" s="16"/>
      <c r="G11" s="31"/>
      <c r="H11" s="58"/>
      <c r="I11" s="48"/>
      <c r="J11" s="48"/>
      <c r="K11" s="48"/>
      <c r="L11" s="48"/>
      <c r="M11" s="48"/>
      <c r="N11" s="32"/>
      <c r="O11" s="32"/>
    </row>
    <row r="12" spans="1:19" x14ac:dyDescent="0.25">
      <c r="A12" s="21"/>
      <c r="B12" s="21"/>
      <c r="C12" s="21"/>
      <c r="D12" s="22"/>
      <c r="E12" s="16"/>
      <c r="F12" s="16"/>
      <c r="G12" s="31"/>
      <c r="H12" s="58"/>
      <c r="I12" s="48"/>
      <c r="J12" s="48"/>
      <c r="K12" s="48"/>
      <c r="L12" s="48"/>
      <c r="M12" s="48"/>
      <c r="N12" s="32"/>
      <c r="O12" s="32"/>
    </row>
    <row r="13" spans="1:19" ht="22.2" customHeight="1" thickBot="1" x14ac:dyDescent="0.3">
      <c r="A13" s="21"/>
      <c r="B13" s="21"/>
      <c r="C13" s="21"/>
      <c r="D13" s="22"/>
      <c r="E13" s="132" t="s">
        <v>21</v>
      </c>
      <c r="F13" s="132"/>
      <c r="G13" s="132"/>
      <c r="H13" s="58"/>
      <c r="I13" s="132" t="s">
        <v>34</v>
      </c>
      <c r="J13" s="132"/>
      <c r="K13" s="132"/>
      <c r="L13" s="132"/>
      <c r="M13" s="132"/>
      <c r="N13" s="132"/>
      <c r="O13" s="132"/>
    </row>
    <row r="14" spans="1:19" ht="46.8" customHeight="1" thickBot="1" x14ac:dyDescent="0.3">
      <c r="A14" s="33" t="s">
        <v>94</v>
      </c>
      <c r="B14" s="34" t="s">
        <v>83</v>
      </c>
      <c r="C14" s="34" t="s">
        <v>82</v>
      </c>
      <c r="D14" s="22"/>
      <c r="E14" s="35" t="s">
        <v>0</v>
      </c>
      <c r="F14" s="35" t="s">
        <v>1</v>
      </c>
      <c r="G14" s="63" t="s">
        <v>2</v>
      </c>
      <c r="H14" s="59"/>
      <c r="I14" s="49" t="s">
        <v>19</v>
      </c>
      <c r="J14" s="49" t="s">
        <v>18</v>
      </c>
      <c r="K14" s="49" t="s">
        <v>35</v>
      </c>
      <c r="L14" s="49" t="s">
        <v>23</v>
      </c>
      <c r="M14" s="49" t="s">
        <v>24</v>
      </c>
      <c r="N14" s="13" t="s">
        <v>25</v>
      </c>
      <c r="O14" s="13" t="s">
        <v>33</v>
      </c>
      <c r="Q14" s="6"/>
      <c r="R14" s="6"/>
      <c r="S14" s="6"/>
    </row>
    <row r="15" spans="1:19" ht="13.8" thickTop="1" x14ac:dyDescent="0.25">
      <c r="A15" s="37" t="s">
        <v>57</v>
      </c>
      <c r="B15" s="38" t="s">
        <v>84</v>
      </c>
      <c r="C15" s="38" t="s">
        <v>85</v>
      </c>
      <c r="D15" s="22"/>
      <c r="E15" s="31">
        <v>1</v>
      </c>
      <c r="F15" s="31">
        <v>0.95</v>
      </c>
      <c r="G15" s="31">
        <v>1.05</v>
      </c>
      <c r="H15" s="58"/>
      <c r="I15" s="48">
        <f>LN(E15)</f>
        <v>0</v>
      </c>
      <c r="J15" s="48">
        <f>(LN(G15)-LN(F15))/3.92</f>
        <v>2.5531494529842508E-2</v>
      </c>
      <c r="K15" s="48">
        <f>1/J15^2</f>
        <v>1534.0782922523372</v>
      </c>
      <c r="L15" s="48">
        <f t="shared" ref="L15:L20" si="0">(I15^2)*K15</f>
        <v>0</v>
      </c>
      <c r="M15" s="48">
        <f t="shared" ref="M15:M20" si="1">K15^2</f>
        <v>2353396.2067598472</v>
      </c>
      <c r="N15" s="32">
        <f t="shared" ref="N15:N20" si="2">J15^2 + $M$28</f>
        <v>6.5185721292737792E-4</v>
      </c>
      <c r="O15" s="32">
        <f>1/N15</f>
        <v>1534.0782922523372</v>
      </c>
    </row>
    <row r="16" spans="1:19" x14ac:dyDescent="0.25">
      <c r="A16" s="37" t="s">
        <v>58</v>
      </c>
      <c r="B16" s="38" t="s">
        <v>86</v>
      </c>
      <c r="C16" s="38" t="s">
        <v>87</v>
      </c>
      <c r="D16" s="22"/>
      <c r="E16" s="31">
        <v>0.997</v>
      </c>
      <c r="F16" s="31">
        <v>0.97799999999999998</v>
      </c>
      <c r="G16" s="31">
        <v>1.016</v>
      </c>
      <c r="H16" s="58"/>
      <c r="I16" s="48">
        <f t="shared" ref="I16:I20" si="3">LN(E16)</f>
        <v>-3.0045090202987243E-3</v>
      </c>
      <c r="J16" s="48">
        <f t="shared" ref="J16:J20" si="4">(LN(G16)-LN(F16))/3.92</f>
        <v>9.7242240060229339E-3</v>
      </c>
      <c r="K16" s="48">
        <f t="shared" ref="K16:K20" si="5">1/J16^2</f>
        <v>10575.236553323803</v>
      </c>
      <c r="L16" s="48">
        <f t="shared" si="0"/>
        <v>9.5463447725537512E-2</v>
      </c>
      <c r="M16" s="48">
        <f t="shared" si="1"/>
        <v>111835628.1587559</v>
      </c>
      <c r="N16" s="32">
        <f t="shared" si="2"/>
        <v>9.456053251931272E-5</v>
      </c>
      <c r="O16" s="32">
        <f t="shared" ref="O16:O20" si="6">1/N16</f>
        <v>10575.236553323803</v>
      </c>
    </row>
    <row r="17" spans="1:19" x14ac:dyDescent="0.25">
      <c r="A17" s="37" t="s">
        <v>59</v>
      </c>
      <c r="B17" s="38" t="s">
        <v>88</v>
      </c>
      <c r="C17" s="38" t="s">
        <v>69</v>
      </c>
      <c r="D17" s="22"/>
      <c r="E17" s="31">
        <v>0.98899999999999999</v>
      </c>
      <c r="F17" s="31">
        <v>0.97</v>
      </c>
      <c r="G17" s="31">
        <v>1.008</v>
      </c>
      <c r="H17" s="58"/>
      <c r="I17" s="48">
        <f t="shared" si="3"/>
        <v>-1.1060947359424948E-2</v>
      </c>
      <c r="J17" s="48">
        <f t="shared" si="4"/>
        <v>9.8029023300728203E-3</v>
      </c>
      <c r="K17" s="48">
        <f t="shared" si="5"/>
        <v>10406.16358560743</v>
      </c>
      <c r="L17" s="48">
        <f t="shared" si="0"/>
        <v>1.2731374686224017</v>
      </c>
      <c r="M17" s="48">
        <f t="shared" si="1"/>
        <v>108288240.57042208</v>
      </c>
      <c r="N17" s="32">
        <f t="shared" si="2"/>
        <v>9.6096894092947123E-5</v>
      </c>
      <c r="O17" s="32">
        <f t="shared" si="6"/>
        <v>10406.16358560743</v>
      </c>
    </row>
    <row r="18" spans="1:19" x14ac:dyDescent="0.25">
      <c r="A18" s="37" t="s">
        <v>60</v>
      </c>
      <c r="B18" s="38" t="s">
        <v>89</v>
      </c>
      <c r="C18" s="38" t="s">
        <v>90</v>
      </c>
      <c r="D18" s="22"/>
      <c r="E18" s="31">
        <v>0.96799999999999997</v>
      </c>
      <c r="F18" s="31">
        <v>0.91600000000000004</v>
      </c>
      <c r="G18" s="31">
        <v>1.022</v>
      </c>
      <c r="H18" s="58"/>
      <c r="I18" s="48">
        <f t="shared" si="3"/>
        <v>-3.2523191705560062E-2</v>
      </c>
      <c r="J18" s="48">
        <f t="shared" si="4"/>
        <v>2.7933777063652923E-2</v>
      </c>
      <c r="K18" s="48">
        <f t="shared" si="5"/>
        <v>1281.5651071148598</v>
      </c>
      <c r="L18" s="48">
        <f t="shared" si="0"/>
        <v>1.355585742926853</v>
      </c>
      <c r="M18" s="48">
        <f t="shared" si="1"/>
        <v>1642409.123774322</v>
      </c>
      <c r="N18" s="32">
        <f t="shared" si="2"/>
        <v>7.8029590104186208E-4</v>
      </c>
      <c r="O18" s="32">
        <f t="shared" si="6"/>
        <v>1281.5651071148598</v>
      </c>
    </row>
    <row r="19" spans="1:19" x14ac:dyDescent="0.25">
      <c r="A19" s="37" t="s">
        <v>61</v>
      </c>
      <c r="B19" s="38" t="s">
        <v>91</v>
      </c>
      <c r="C19" s="38" t="s">
        <v>92</v>
      </c>
      <c r="D19" s="22"/>
      <c r="E19" s="31">
        <v>1.01</v>
      </c>
      <c r="F19" s="31">
        <v>0.98</v>
      </c>
      <c r="G19" s="31">
        <v>1.05</v>
      </c>
      <c r="H19" s="58"/>
      <c r="I19" s="48">
        <f t="shared" si="3"/>
        <v>9.950330853168092E-3</v>
      </c>
      <c r="J19" s="48">
        <f t="shared" si="4"/>
        <v>1.7600222318099878E-2</v>
      </c>
      <c r="K19" s="48">
        <f t="shared" si="5"/>
        <v>3228.2242286229066</v>
      </c>
      <c r="L19" s="48">
        <f t="shared" si="0"/>
        <v>0.31962352410505873</v>
      </c>
      <c r="M19" s="48">
        <f t="shared" si="1"/>
        <v>10421431.67026796</v>
      </c>
      <c r="N19" s="32">
        <f t="shared" si="2"/>
        <v>3.0976782564654106E-4</v>
      </c>
      <c r="O19" s="32">
        <f t="shared" si="6"/>
        <v>3228.2242286229066</v>
      </c>
    </row>
    <row r="20" spans="1:19" ht="13.8" thickBot="1" x14ac:dyDescent="0.3">
      <c r="A20" s="37" t="s">
        <v>62</v>
      </c>
      <c r="B20" s="38" t="s">
        <v>93</v>
      </c>
      <c r="C20" s="38" t="s">
        <v>76</v>
      </c>
      <c r="D20" s="22"/>
      <c r="E20" s="31">
        <v>1.0169999999999999</v>
      </c>
      <c r="F20" s="31">
        <v>0.99</v>
      </c>
      <c r="G20" s="31">
        <v>1.04</v>
      </c>
      <c r="H20" s="58"/>
      <c r="I20" s="48">
        <f t="shared" si="3"/>
        <v>1.6857117066422806E-2</v>
      </c>
      <c r="J20" s="48">
        <f t="shared" si="4"/>
        <v>1.2569145154791525E-2</v>
      </c>
      <c r="K20" s="48">
        <f t="shared" si="5"/>
        <v>6329.7785539148363</v>
      </c>
      <c r="L20" s="48">
        <f t="shared" si="0"/>
        <v>1.7986850387074569</v>
      </c>
      <c r="M20" s="48">
        <f t="shared" si="1"/>
        <v>40066096.541600198</v>
      </c>
      <c r="N20" s="32">
        <f t="shared" si="2"/>
        <v>1.5798340992221929E-4</v>
      </c>
      <c r="O20" s="32">
        <f t="shared" si="6"/>
        <v>6329.7785539148363</v>
      </c>
    </row>
    <row r="21" spans="1:19" s="7" customFormat="1" ht="13.8" thickBot="1" x14ac:dyDescent="0.3">
      <c r="A21" s="39" t="s">
        <v>20</v>
      </c>
      <c r="B21" s="40"/>
      <c r="C21" s="40"/>
      <c r="D21" s="41"/>
      <c r="E21" s="42">
        <f>EXP(I21)</f>
        <v>0.99851011345447682</v>
      </c>
      <c r="F21" s="42">
        <f>EXP(I21+J21*-1.96)</f>
        <v>0.98785153088223554</v>
      </c>
      <c r="G21" s="42">
        <f>EXP(I21+J21*1.96)</f>
        <v>1.0092836985133244</v>
      </c>
      <c r="H21" s="60"/>
      <c r="I21" s="50">
        <f>SUMPRODUCT(I15:I20,K15:K20)/SUM(K15:K20)</f>
        <v>-1.4909975301135496E-3</v>
      </c>
      <c r="J21" s="50">
        <f>1/SQRT(SUM(K15:K20))</f>
        <v>5.4754425421343293E-3</v>
      </c>
      <c r="K21" s="51"/>
      <c r="L21" s="52"/>
      <c r="M21" s="52"/>
      <c r="N21" s="44"/>
      <c r="O21" s="44"/>
    </row>
    <row r="22" spans="1:19" s="7" customFormat="1" ht="13.8" thickBot="1" x14ac:dyDescent="0.3">
      <c r="A22" s="39" t="s">
        <v>32</v>
      </c>
      <c r="B22" s="40"/>
      <c r="C22" s="40"/>
      <c r="D22" s="41"/>
      <c r="E22" s="42">
        <f>EXP(I22)</f>
        <v>0.99851011345447682</v>
      </c>
      <c r="F22" s="42">
        <f>EXP(I22-1.96*J22)</f>
        <v>0.98785153088223554</v>
      </c>
      <c r="G22" s="42">
        <f>EXP(I22+1.96*J22)</f>
        <v>1.0092836985133244</v>
      </c>
      <c r="H22" s="60"/>
      <c r="I22" s="50">
        <f>SUMPRODUCT(I15:I20,O15:O20)/SUM(O15:O20)</f>
        <v>-1.4909975301135496E-3</v>
      </c>
      <c r="J22" s="50">
        <f>1/SQRT(SUM(O15:O20))</f>
        <v>5.4754425421343293E-3</v>
      </c>
      <c r="K22" s="51"/>
      <c r="L22" s="52"/>
      <c r="M22" s="52"/>
      <c r="N22" s="44"/>
      <c r="O22" s="44"/>
    </row>
    <row r="23" spans="1:19" x14ac:dyDescent="0.25">
      <c r="E23" s="5"/>
      <c r="F23" s="5"/>
      <c r="L23" s="54"/>
      <c r="M23" s="49" t="s">
        <v>27</v>
      </c>
    </row>
    <row r="24" spans="1:19" s="12" customFormat="1" ht="25.2" customHeight="1" x14ac:dyDescent="0.25">
      <c r="A24" s="128" t="s">
        <v>39</v>
      </c>
      <c r="B24" s="26"/>
      <c r="C24" s="26"/>
      <c r="D24" s="9" t="s">
        <v>22</v>
      </c>
      <c r="E24" s="134" t="s">
        <v>38</v>
      </c>
      <c r="F24" s="134"/>
      <c r="G24" s="134"/>
      <c r="H24" s="57"/>
      <c r="I24" s="53"/>
      <c r="J24" s="53"/>
      <c r="K24" s="53"/>
      <c r="L24" s="55" t="s">
        <v>26</v>
      </c>
      <c r="M24" s="53">
        <f>SUM(L15:L20)-SUMPRODUCT(I15:I20,K15:K20)^2/SUM(K15:K20)</f>
        <v>4.7683444980237679</v>
      </c>
      <c r="P24"/>
      <c r="Q24"/>
      <c r="R24"/>
      <c r="S24"/>
    </row>
    <row r="25" spans="1:19" s="12" customFormat="1" x14ac:dyDescent="0.25">
      <c r="A25" s="129"/>
      <c r="B25" s="27"/>
      <c r="C25" s="27"/>
      <c r="D25" s="61">
        <f>SUMPRODUCT(I15:I20-$I$21,I15:I20-$I$21,K15:K20)</f>
        <v>4.768344498023767</v>
      </c>
      <c r="E25" s="135">
        <f>_xlfn.CHISQ.DIST.RT(D25,COUNT(E15:E20)-1)</f>
        <v>0.44480086053086521</v>
      </c>
      <c r="F25" s="135"/>
      <c r="G25" s="135"/>
      <c r="H25" s="57"/>
      <c r="I25" s="53"/>
      <c r="J25" s="53"/>
      <c r="K25" s="53"/>
      <c r="L25" s="55" t="s">
        <v>28</v>
      </c>
      <c r="M25" s="53">
        <f>COUNT(E15:E20)-1</f>
        <v>5</v>
      </c>
      <c r="P25"/>
      <c r="Q25"/>
      <c r="R25"/>
      <c r="S25"/>
    </row>
    <row r="26" spans="1:19" s="12" customFormat="1" x14ac:dyDescent="0.25">
      <c r="A26" s="129"/>
      <c r="B26" s="27"/>
      <c r="C26" s="27"/>
      <c r="D26" s="10"/>
      <c r="E26" s="25"/>
      <c r="F26" s="25"/>
      <c r="G26" s="64"/>
      <c r="H26" s="57"/>
      <c r="I26" s="53"/>
      <c r="J26" s="53"/>
      <c r="K26" s="53"/>
      <c r="L26" s="55" t="s">
        <v>29</v>
      </c>
      <c r="M26" s="53">
        <f>MAX(M24-M25,0)</f>
        <v>0</v>
      </c>
      <c r="P26"/>
      <c r="Q26"/>
      <c r="R26"/>
      <c r="S26"/>
    </row>
    <row r="27" spans="1:19" s="12" customFormat="1" x14ac:dyDescent="0.25">
      <c r="A27" s="14"/>
      <c r="B27" s="14"/>
      <c r="C27" s="14"/>
      <c r="D27" s="15"/>
      <c r="E27" s="16"/>
      <c r="F27" s="16"/>
      <c r="G27" s="31"/>
      <c r="H27" s="57"/>
      <c r="I27" s="53"/>
      <c r="J27" s="53"/>
      <c r="K27" s="53"/>
      <c r="L27" s="55" t="s">
        <v>30</v>
      </c>
      <c r="M27" s="53">
        <f>SUM(K15:K20)-SUM(M15:M20)/SUM(K15:K20)</f>
        <v>25122.193047895609</v>
      </c>
      <c r="P27"/>
      <c r="Q27"/>
      <c r="R27"/>
      <c r="S27"/>
    </row>
    <row r="28" spans="1:19" s="12" customFormat="1" x14ac:dyDescent="0.25">
      <c r="A28" s="1"/>
      <c r="B28" s="1"/>
      <c r="C28" s="1"/>
      <c r="D28" s="2"/>
      <c r="E28" s="8"/>
      <c r="F28" s="8"/>
      <c r="G28" s="5"/>
      <c r="H28" s="57"/>
      <c r="I28" s="53"/>
      <c r="J28" s="53"/>
      <c r="K28" s="53"/>
      <c r="L28" s="55" t="s">
        <v>31</v>
      </c>
      <c r="M28" s="53">
        <f>M26/M27</f>
        <v>0</v>
      </c>
      <c r="P28"/>
      <c r="Q28"/>
      <c r="R28"/>
      <c r="S28"/>
    </row>
    <row r="29" spans="1:19" s="12" customFormat="1" x14ac:dyDescent="0.25">
      <c r="A29" s="18" t="s">
        <v>37</v>
      </c>
      <c r="B29" s="18"/>
      <c r="C29" s="18"/>
      <c r="D29" s="19">
        <f>(D25-COUNT(E15:E20)+1)/D25</f>
        <v>-4.858195587005977E-2</v>
      </c>
      <c r="E29" s="17"/>
      <c r="F29" s="17"/>
      <c r="G29" s="65"/>
      <c r="H29" s="57"/>
      <c r="I29" s="53"/>
      <c r="J29" s="53"/>
      <c r="K29" s="53"/>
      <c r="L29" s="53"/>
      <c r="M29" s="53"/>
      <c r="P29"/>
      <c r="Q29"/>
      <c r="R29"/>
      <c r="S29"/>
    </row>
  </sheetData>
  <mergeCells count="8">
    <mergeCell ref="A24:A26"/>
    <mergeCell ref="E24:G24"/>
    <mergeCell ref="E25:G25"/>
    <mergeCell ref="A1:O1"/>
    <mergeCell ref="A2:O2"/>
    <mergeCell ref="A3:O3"/>
    <mergeCell ref="E13:G13"/>
    <mergeCell ref="I13:O13"/>
  </mergeCells>
  <pageMargins left="0.5" right="0.25" top="1" bottom="0.25" header="0.5" footer="0.5"/>
  <pageSetup scale="52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ED62-9D52-48E7-AB18-0F752918A49D}">
  <sheetPr>
    <pageSetUpPr fitToPage="1"/>
  </sheetPr>
  <dimension ref="A1:R29"/>
  <sheetViews>
    <sheetView workbookViewId="0">
      <selection sqref="A1:O1"/>
    </sheetView>
  </sheetViews>
  <sheetFormatPr defaultRowHeight="13.2" x14ac:dyDescent="0.25"/>
  <cols>
    <col min="1" max="1" width="34.109375" customWidth="1"/>
    <col min="2" max="2" width="14.5546875" customWidth="1"/>
    <col min="3" max="3" width="10.33203125" customWidth="1"/>
    <col min="4" max="4" width="14.5546875" bestFit="1" customWidth="1"/>
    <col min="5" max="5" width="33.109375" customWidth="1"/>
    <col min="6" max="6" width="35.88671875" customWidth="1"/>
    <col min="7" max="7" width="41.6640625" customWidth="1"/>
    <col min="12" max="12" width="10.5546875" customWidth="1"/>
  </cols>
  <sheetData>
    <row r="1" spans="1:18" s="124" customFormat="1" ht="17.399999999999999" x14ac:dyDescent="0.3">
      <c r="A1" s="146" t="s">
        <v>177</v>
      </c>
      <c r="B1" s="146"/>
      <c r="C1" s="146"/>
      <c r="D1" s="146"/>
      <c r="E1" s="146"/>
      <c r="F1" s="146"/>
      <c r="G1" s="146"/>
      <c r="H1" s="123"/>
      <c r="I1" s="123"/>
      <c r="J1" s="123"/>
      <c r="K1" s="123"/>
      <c r="L1" s="123"/>
      <c r="M1" s="123"/>
      <c r="N1" s="123"/>
    </row>
    <row r="2" spans="1:18" ht="14.4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8" ht="16.2" thickBot="1" x14ac:dyDescent="0.3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8" ht="46.95" customHeight="1" thickBot="1" x14ac:dyDescent="0.3">
      <c r="A4" s="118" t="s">
        <v>124</v>
      </c>
      <c r="B4" s="119" t="s">
        <v>83</v>
      </c>
      <c r="C4" s="119" t="s">
        <v>125</v>
      </c>
      <c r="D4" s="2"/>
      <c r="E4" s="120" t="s">
        <v>126</v>
      </c>
      <c r="F4" s="120" t="s">
        <v>127</v>
      </c>
      <c r="G4" s="120" t="s">
        <v>146</v>
      </c>
      <c r="H4" s="13"/>
      <c r="I4" s="13"/>
      <c r="J4" s="13"/>
      <c r="K4" s="13"/>
      <c r="L4" s="13"/>
      <c r="M4" s="13"/>
      <c r="N4" s="13"/>
      <c r="P4" s="6"/>
      <c r="Q4" s="6"/>
      <c r="R4" s="6"/>
    </row>
    <row r="5" spans="1:18" ht="13.8" thickTop="1" x14ac:dyDescent="0.25">
      <c r="A5" s="1" t="s">
        <v>51</v>
      </c>
      <c r="B5" s="76" t="s">
        <v>66</v>
      </c>
      <c r="C5" s="76" t="s">
        <v>67</v>
      </c>
      <c r="D5" s="2"/>
      <c r="E5" t="s">
        <v>128</v>
      </c>
      <c r="F5" s="3" t="s">
        <v>129</v>
      </c>
      <c r="G5" s="3" t="s">
        <v>147</v>
      </c>
      <c r="H5" s="8"/>
      <c r="I5" s="8"/>
      <c r="J5" s="8"/>
      <c r="K5" s="12"/>
      <c r="L5" s="12"/>
      <c r="M5" s="12"/>
      <c r="N5" s="12"/>
    </row>
    <row r="6" spans="1:18" x14ac:dyDescent="0.25">
      <c r="A6" s="71" t="s">
        <v>101</v>
      </c>
      <c r="B6" s="76" t="s">
        <v>68</v>
      </c>
      <c r="C6" s="76" t="s">
        <v>69</v>
      </c>
      <c r="D6" s="2"/>
      <c r="E6" t="s">
        <v>130</v>
      </c>
      <c r="F6" s="3" t="s">
        <v>131</v>
      </c>
      <c r="G6" s="3" t="s">
        <v>148</v>
      </c>
      <c r="H6" s="8"/>
      <c r="I6" s="8"/>
      <c r="J6" s="8"/>
      <c r="K6" s="12"/>
      <c r="L6" s="12"/>
      <c r="M6" s="12"/>
      <c r="N6" s="12"/>
    </row>
    <row r="7" spans="1:18" x14ac:dyDescent="0.25">
      <c r="A7" s="71" t="s">
        <v>102</v>
      </c>
      <c r="B7" s="76" t="s">
        <v>68</v>
      </c>
      <c r="C7" s="76" t="s">
        <v>69</v>
      </c>
      <c r="D7" s="2"/>
      <c r="E7" t="s">
        <v>130</v>
      </c>
      <c r="F7" s="3" t="s">
        <v>132</v>
      </c>
      <c r="G7" s="3" t="s">
        <v>148</v>
      </c>
      <c r="H7" s="8"/>
      <c r="I7" s="8"/>
      <c r="J7" s="8"/>
      <c r="K7" s="12"/>
      <c r="L7" s="12"/>
      <c r="M7" s="12"/>
      <c r="N7" s="12"/>
    </row>
    <row r="8" spans="1:18" x14ac:dyDescent="0.25">
      <c r="A8" s="71" t="s">
        <v>103</v>
      </c>
      <c r="B8" s="76" t="s">
        <v>68</v>
      </c>
      <c r="C8" s="76" t="s">
        <v>69</v>
      </c>
      <c r="D8" s="2"/>
      <c r="E8" t="s">
        <v>130</v>
      </c>
      <c r="F8" s="3" t="s">
        <v>133</v>
      </c>
      <c r="G8" s="3" t="s">
        <v>148</v>
      </c>
      <c r="H8" s="8"/>
      <c r="I8" s="8"/>
      <c r="J8" s="8"/>
      <c r="K8" s="12"/>
      <c r="L8" s="12"/>
      <c r="M8" s="12"/>
      <c r="N8" s="12"/>
    </row>
    <row r="9" spans="1:18" x14ac:dyDescent="0.25">
      <c r="A9" s="71" t="s">
        <v>65</v>
      </c>
      <c r="B9" s="76" t="s">
        <v>70</v>
      </c>
      <c r="C9" s="76" t="s">
        <v>90</v>
      </c>
      <c r="D9" s="2"/>
      <c r="E9" s="121" t="s">
        <v>134</v>
      </c>
      <c r="F9" s="3" t="s">
        <v>149</v>
      </c>
      <c r="G9" t="s">
        <v>150</v>
      </c>
      <c r="H9" s="8"/>
      <c r="I9" s="8"/>
      <c r="J9" s="8"/>
      <c r="K9" s="12"/>
      <c r="L9" s="12"/>
      <c r="M9" s="12"/>
      <c r="N9" s="12"/>
    </row>
    <row r="10" spans="1:18" x14ac:dyDescent="0.25">
      <c r="A10" s="71" t="s">
        <v>151</v>
      </c>
      <c r="B10" s="76" t="s">
        <v>70</v>
      </c>
      <c r="C10" s="76" t="s">
        <v>152</v>
      </c>
      <c r="D10" s="2"/>
      <c r="E10" s="121" t="s">
        <v>153</v>
      </c>
      <c r="F10" s="3" t="s">
        <v>154</v>
      </c>
      <c r="G10" t="s">
        <v>155</v>
      </c>
      <c r="H10" s="8"/>
      <c r="I10" s="8"/>
      <c r="J10" s="8"/>
      <c r="K10" s="12"/>
      <c r="L10" s="12"/>
      <c r="M10" s="12"/>
      <c r="N10" s="12"/>
    </row>
    <row r="11" spans="1:18" x14ac:dyDescent="0.25">
      <c r="A11" s="1" t="s">
        <v>12</v>
      </c>
      <c r="B11" s="76" t="s">
        <v>71</v>
      </c>
      <c r="C11" s="76" t="s">
        <v>72</v>
      </c>
      <c r="D11" s="2"/>
      <c r="E11" t="s">
        <v>135</v>
      </c>
      <c r="F11" s="3" t="s">
        <v>136</v>
      </c>
      <c r="G11" s="3" t="s">
        <v>156</v>
      </c>
      <c r="H11" s="8"/>
      <c r="I11" s="8"/>
      <c r="J11" s="8"/>
      <c r="K11" s="12"/>
      <c r="L11" s="12"/>
      <c r="M11" s="12"/>
      <c r="N11" s="12"/>
    </row>
    <row r="12" spans="1:18" x14ac:dyDescent="0.25">
      <c r="A12" s="1" t="s">
        <v>53</v>
      </c>
      <c r="B12" s="76" t="s">
        <v>73</v>
      </c>
      <c r="C12" s="76" t="s">
        <v>74</v>
      </c>
      <c r="D12" s="2"/>
      <c r="E12" t="s">
        <v>135</v>
      </c>
      <c r="F12" s="3" t="s">
        <v>136</v>
      </c>
      <c r="G12" s="3" t="s">
        <v>157</v>
      </c>
      <c r="H12" s="8"/>
      <c r="I12" s="8"/>
      <c r="J12" s="8"/>
      <c r="K12" s="12"/>
      <c r="L12" s="12"/>
      <c r="M12" s="12"/>
      <c r="N12" s="12"/>
    </row>
    <row r="13" spans="1:18" x14ac:dyDescent="0.25">
      <c r="A13" s="1" t="s">
        <v>54</v>
      </c>
      <c r="B13" s="76" t="s">
        <v>75</v>
      </c>
      <c r="C13" s="76" t="s">
        <v>105</v>
      </c>
      <c r="D13" s="2"/>
      <c r="E13" t="s">
        <v>137</v>
      </c>
      <c r="F13" s="3" t="s">
        <v>138</v>
      </c>
      <c r="G13" t="s">
        <v>158</v>
      </c>
      <c r="H13" s="8"/>
      <c r="I13" s="8"/>
      <c r="J13" s="8"/>
      <c r="K13" s="12"/>
      <c r="L13" s="12"/>
      <c r="M13" s="12"/>
      <c r="N13" s="12"/>
    </row>
    <row r="14" spans="1:18" x14ac:dyDescent="0.25">
      <c r="A14" s="1" t="s">
        <v>4</v>
      </c>
      <c r="B14" s="76" t="s">
        <v>77</v>
      </c>
      <c r="C14" s="76" t="s">
        <v>78</v>
      </c>
      <c r="D14" s="2"/>
      <c r="E14" t="s">
        <v>139</v>
      </c>
      <c r="F14" s="3" t="s">
        <v>140</v>
      </c>
      <c r="G14" t="s">
        <v>159</v>
      </c>
      <c r="H14" s="8"/>
      <c r="I14" s="8"/>
      <c r="J14" s="8"/>
      <c r="K14" s="12"/>
      <c r="L14" s="12"/>
      <c r="M14" s="12"/>
      <c r="N14" s="12"/>
    </row>
    <row r="15" spans="1:18" x14ac:dyDescent="0.25">
      <c r="A15" s="1" t="s">
        <v>55</v>
      </c>
      <c r="B15" s="76" t="s">
        <v>79</v>
      </c>
      <c r="C15" s="76" t="s">
        <v>76</v>
      </c>
      <c r="D15" s="2"/>
      <c r="E15" t="s">
        <v>141</v>
      </c>
      <c r="F15" s="3" t="s">
        <v>142</v>
      </c>
      <c r="G15" t="s">
        <v>160</v>
      </c>
      <c r="H15" s="8"/>
      <c r="I15" s="8"/>
      <c r="J15" s="8"/>
      <c r="K15" s="12"/>
      <c r="L15" s="12"/>
      <c r="M15" s="12"/>
      <c r="N15" s="12"/>
    </row>
    <row r="16" spans="1:18" x14ac:dyDescent="0.25">
      <c r="A16" s="1" t="s">
        <v>7</v>
      </c>
      <c r="B16" s="76" t="s">
        <v>80</v>
      </c>
      <c r="C16" s="76" t="s">
        <v>81</v>
      </c>
      <c r="D16" s="2"/>
      <c r="E16" t="s">
        <v>143</v>
      </c>
      <c r="F16" s="122" t="s">
        <v>144</v>
      </c>
      <c r="G16" t="s">
        <v>161</v>
      </c>
      <c r="H16" s="8"/>
      <c r="I16" s="8"/>
      <c r="J16" s="8"/>
      <c r="K16" s="12"/>
      <c r="L16" s="12"/>
      <c r="M16" s="12"/>
      <c r="N16" s="12"/>
    </row>
    <row r="17" spans="1:14" x14ac:dyDescent="0.25">
      <c r="A17" s="1"/>
      <c r="B17" s="1"/>
      <c r="C17" s="1"/>
      <c r="D17" s="2"/>
      <c r="E17" s="8"/>
      <c r="F17" s="8"/>
      <c r="G17" s="3"/>
      <c r="H17" s="8"/>
      <c r="I17" s="8"/>
      <c r="J17" s="8"/>
      <c r="K17" s="12"/>
      <c r="L17" s="12"/>
      <c r="M17" s="12"/>
      <c r="N17" s="12"/>
    </row>
    <row r="21" spans="1:14" ht="13.8" thickBot="1" x14ac:dyDescent="0.3">
      <c r="A21" s="118" t="s">
        <v>162</v>
      </c>
      <c r="B21" s="119"/>
      <c r="C21" s="119"/>
    </row>
    <row r="22" spans="1:14" ht="13.8" thickTop="1" x14ac:dyDescent="0.25">
      <c r="A22" s="1" t="s">
        <v>57</v>
      </c>
      <c r="B22" s="75" t="s">
        <v>84</v>
      </c>
      <c r="C22" s="75" t="s">
        <v>85</v>
      </c>
      <c r="E22" t="s">
        <v>163</v>
      </c>
      <c r="F22" s="3" t="s">
        <v>164</v>
      </c>
      <c r="G22" s="3" t="s">
        <v>165</v>
      </c>
    </row>
    <row r="23" spans="1:14" x14ac:dyDescent="0.25">
      <c r="A23" s="1" t="s">
        <v>58</v>
      </c>
      <c r="B23" s="75" t="s">
        <v>86</v>
      </c>
      <c r="C23" s="75" t="s">
        <v>87</v>
      </c>
      <c r="E23" t="s">
        <v>166</v>
      </c>
      <c r="F23" s="3" t="s">
        <v>167</v>
      </c>
      <c r="G23" s="3" t="s">
        <v>168</v>
      </c>
    </row>
    <row r="24" spans="1:14" x14ac:dyDescent="0.25">
      <c r="A24" s="1" t="s">
        <v>59</v>
      </c>
      <c r="B24" s="75" t="s">
        <v>88</v>
      </c>
      <c r="C24" s="75" t="s">
        <v>69</v>
      </c>
      <c r="E24" t="s">
        <v>130</v>
      </c>
      <c r="F24" s="3" t="s">
        <v>133</v>
      </c>
      <c r="G24" s="3" t="s">
        <v>148</v>
      </c>
    </row>
    <row r="25" spans="1:14" x14ac:dyDescent="0.25">
      <c r="A25" s="1" t="s">
        <v>60</v>
      </c>
      <c r="B25" s="75" t="s">
        <v>89</v>
      </c>
      <c r="C25" s="75" t="s">
        <v>90</v>
      </c>
      <c r="E25" t="s">
        <v>169</v>
      </c>
      <c r="F25" s="3" t="s">
        <v>170</v>
      </c>
      <c r="G25" s="3" t="s">
        <v>171</v>
      </c>
    </row>
    <row r="26" spans="1:14" x14ac:dyDescent="0.25">
      <c r="A26" s="1" t="s">
        <v>61</v>
      </c>
      <c r="B26" s="75" t="s">
        <v>91</v>
      </c>
      <c r="C26" s="75" t="s">
        <v>92</v>
      </c>
      <c r="E26" t="s">
        <v>172</v>
      </c>
      <c r="F26" s="3" t="s">
        <v>173</v>
      </c>
      <c r="G26" s="3" t="s">
        <v>174</v>
      </c>
    </row>
    <row r="27" spans="1:14" x14ac:dyDescent="0.25">
      <c r="A27" s="1" t="s">
        <v>62</v>
      </c>
      <c r="B27" s="75" t="s">
        <v>93</v>
      </c>
      <c r="C27" s="75" t="s">
        <v>76</v>
      </c>
      <c r="E27" t="s">
        <v>141</v>
      </c>
      <c r="F27" s="3" t="s">
        <v>173</v>
      </c>
      <c r="G27" t="s">
        <v>160</v>
      </c>
    </row>
    <row r="28" spans="1:14" x14ac:dyDescent="0.25">
      <c r="F28" s="3"/>
    </row>
    <row r="29" spans="1:14" x14ac:dyDescent="0.25">
      <c r="F29" s="122"/>
    </row>
  </sheetData>
  <mergeCells count="1">
    <mergeCell ref="A1:G1"/>
  </mergeCells>
  <pageMargins left="0.7" right="0.7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zoomScaleNormal="100" workbookViewId="0">
      <selection sqref="A1:M1"/>
    </sheetView>
  </sheetViews>
  <sheetFormatPr defaultRowHeight="13.2" x14ac:dyDescent="0.25"/>
  <cols>
    <col min="1" max="1" width="42.5546875" style="1" customWidth="1"/>
    <col min="2" max="2" width="28.6640625" style="2" customWidth="1"/>
    <col min="3" max="4" width="8.6640625" style="4" customWidth="1"/>
    <col min="5" max="5" width="8.5546875" style="4" customWidth="1"/>
    <col min="6" max="6" width="10.6640625" style="3" customWidth="1"/>
    <col min="7" max="7" width="21.6640625" style="5" customWidth="1"/>
    <col min="8" max="9" width="21.6640625" style="53" customWidth="1"/>
    <col min="10" max="10" width="11.88671875" style="53" customWidth="1"/>
    <col min="11" max="11" width="16.6640625" style="53" bestFit="1" customWidth="1"/>
    <col min="12" max="12" width="8.6640625" style="53" customWidth="1"/>
    <col min="13" max="13" width="16.109375" style="53" customWidth="1"/>
    <col min="14" max="14" width="10.6640625" customWidth="1"/>
    <col min="15" max="15" width="10.5546875" customWidth="1"/>
    <col min="16" max="18" width="8.6640625" customWidth="1"/>
  </cols>
  <sheetData>
    <row r="1" spans="1:17" ht="17.399999999999999" x14ac:dyDescent="0.3">
      <c r="A1" s="130" t="s">
        <v>188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7" ht="15.6" x14ac:dyDescent="0.3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ht="15.6" x14ac:dyDescent="0.3">
      <c r="A3" s="131" t="s">
        <v>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7" ht="15.6" x14ac:dyDescent="0.3">
      <c r="A4" s="20" t="s">
        <v>42</v>
      </c>
      <c r="B4" s="126"/>
      <c r="C4" s="126"/>
      <c r="D4" s="126"/>
      <c r="E4" s="126"/>
      <c r="F4" s="126"/>
      <c r="G4"/>
      <c r="H4"/>
      <c r="I4"/>
      <c r="J4"/>
      <c r="K4"/>
      <c r="L4"/>
      <c r="M4"/>
    </row>
    <row r="5" spans="1:17" ht="13.8" x14ac:dyDescent="0.3">
      <c r="A5" s="29" t="s">
        <v>43</v>
      </c>
      <c r="B5" s="22"/>
      <c r="C5" s="16"/>
      <c r="D5" s="16"/>
      <c r="E5" s="16"/>
      <c r="F5" s="23"/>
      <c r="G5"/>
      <c r="H5"/>
      <c r="I5"/>
      <c r="J5"/>
      <c r="K5"/>
      <c r="L5"/>
      <c r="M5"/>
    </row>
    <row r="6" spans="1:17" ht="13.8" x14ac:dyDescent="0.3">
      <c r="A6" s="29" t="s">
        <v>44</v>
      </c>
      <c r="B6" s="22"/>
      <c r="C6" s="16"/>
      <c r="D6" s="16"/>
      <c r="E6" s="16"/>
      <c r="F6" s="23"/>
      <c r="G6"/>
      <c r="H6"/>
      <c r="I6"/>
      <c r="J6"/>
      <c r="K6"/>
      <c r="L6"/>
      <c r="M6"/>
    </row>
    <row r="7" spans="1:17" ht="13.8" x14ac:dyDescent="0.3">
      <c r="A7" s="30" t="s">
        <v>45</v>
      </c>
      <c r="B7" s="22"/>
      <c r="C7" s="16"/>
      <c r="D7" s="16"/>
      <c r="E7" s="16"/>
      <c r="F7" s="23"/>
      <c r="G7"/>
      <c r="H7"/>
      <c r="I7"/>
      <c r="J7"/>
      <c r="K7"/>
      <c r="L7"/>
      <c r="M7"/>
    </row>
    <row r="8" spans="1:17" ht="13.8" x14ac:dyDescent="0.3">
      <c r="A8" s="30" t="s">
        <v>46</v>
      </c>
      <c r="B8" s="22"/>
      <c r="C8" s="16"/>
      <c r="D8" s="16"/>
      <c r="E8" s="16"/>
      <c r="F8" s="23"/>
      <c r="G8"/>
      <c r="H8"/>
      <c r="I8"/>
      <c r="J8"/>
      <c r="K8"/>
      <c r="L8"/>
      <c r="M8"/>
    </row>
    <row r="9" spans="1:17" ht="13.8" x14ac:dyDescent="0.3">
      <c r="A9" s="30" t="s">
        <v>47</v>
      </c>
      <c r="B9" s="22"/>
      <c r="C9" s="16"/>
      <c r="D9" s="16"/>
      <c r="E9" s="16"/>
      <c r="F9" s="23"/>
      <c r="G9"/>
      <c r="H9"/>
      <c r="I9"/>
      <c r="J9"/>
      <c r="K9"/>
      <c r="L9"/>
      <c r="M9"/>
    </row>
    <row r="10" spans="1:17" ht="13.8" x14ac:dyDescent="0.3">
      <c r="A10" s="30" t="s">
        <v>48</v>
      </c>
      <c r="B10" s="22"/>
      <c r="C10" s="16"/>
      <c r="D10" s="16"/>
      <c r="E10" s="16"/>
      <c r="F10" s="23"/>
      <c r="G10"/>
      <c r="H10"/>
      <c r="I10"/>
      <c r="J10"/>
      <c r="K10"/>
      <c r="L10"/>
      <c r="M10"/>
    </row>
    <row r="11" spans="1:17" x14ac:dyDescent="0.25">
      <c r="A11" s="21"/>
      <c r="B11" s="22"/>
      <c r="C11" s="16"/>
      <c r="D11" s="16"/>
      <c r="E11" s="16"/>
      <c r="F11" s="23"/>
      <c r="G11" s="31"/>
      <c r="H11" s="48"/>
      <c r="I11" s="48"/>
      <c r="J11" s="48"/>
      <c r="K11" s="48"/>
      <c r="L11" s="48"/>
      <c r="M11" s="48"/>
    </row>
    <row r="12" spans="1:17" ht="22.2" customHeight="1" thickBot="1" x14ac:dyDescent="0.3">
      <c r="A12" s="21"/>
      <c r="B12" s="22"/>
      <c r="C12" s="132" t="s">
        <v>21</v>
      </c>
      <c r="D12" s="132"/>
      <c r="E12" s="132"/>
      <c r="F12" s="23"/>
      <c r="G12" s="133" t="s">
        <v>34</v>
      </c>
      <c r="H12" s="133"/>
      <c r="I12" s="133"/>
      <c r="J12" s="133"/>
      <c r="K12" s="133"/>
      <c r="L12" s="133"/>
      <c r="M12" s="133"/>
    </row>
    <row r="13" spans="1:17" ht="46.8" customHeight="1" thickBot="1" x14ac:dyDescent="0.3">
      <c r="A13" s="33" t="s">
        <v>36</v>
      </c>
      <c r="B13" s="22"/>
      <c r="C13" s="35" t="s">
        <v>0</v>
      </c>
      <c r="D13" s="35" t="s">
        <v>1</v>
      </c>
      <c r="E13" s="35" t="s">
        <v>2</v>
      </c>
      <c r="F13" s="36"/>
      <c r="G13" s="67" t="s">
        <v>19</v>
      </c>
      <c r="H13" s="49" t="s">
        <v>18</v>
      </c>
      <c r="I13" s="49" t="s">
        <v>35</v>
      </c>
      <c r="J13" s="49" t="s">
        <v>23</v>
      </c>
      <c r="K13" s="49" t="s">
        <v>24</v>
      </c>
      <c r="L13" s="49" t="s">
        <v>25</v>
      </c>
      <c r="M13" s="49" t="s">
        <v>33</v>
      </c>
      <c r="O13" s="6"/>
      <c r="P13" s="6"/>
      <c r="Q13" s="6"/>
    </row>
    <row r="14" spans="1:17" ht="13.8" thickTop="1" x14ac:dyDescent="0.25">
      <c r="A14" s="37" t="s">
        <v>3</v>
      </c>
      <c r="B14" s="22"/>
      <c r="C14" s="31">
        <v>0.86</v>
      </c>
      <c r="D14" s="31">
        <v>0.72</v>
      </c>
      <c r="E14" s="31">
        <v>1.02</v>
      </c>
      <c r="F14" s="23"/>
      <c r="G14" s="31">
        <f>LN(C14)</f>
        <v>-0.15082288973458366</v>
      </c>
      <c r="H14" s="48">
        <f>(LN(E14)-LN(D14))/3.92</f>
        <v>8.8853748537810154E-2</v>
      </c>
      <c r="I14" s="48">
        <f>1/H14^2</f>
        <v>126.66262701112289</v>
      </c>
      <c r="J14" s="48">
        <f t="shared" ref="J14:J28" si="0">(G14^2)*I14</f>
        <v>2.8812636896902806</v>
      </c>
      <c r="K14" s="48">
        <f t="shared" ref="K14:K28" si="1">I14^2</f>
        <v>16043.421081358838</v>
      </c>
      <c r="L14" s="48">
        <f t="shared" ref="L14:L20" si="2">H14^2 + $K$36</f>
        <v>9.4516476561780517E-3</v>
      </c>
      <c r="M14" s="48">
        <f>1/L14</f>
        <v>105.80165875590505</v>
      </c>
    </row>
    <row r="15" spans="1:17" x14ac:dyDescent="0.25">
      <c r="A15" s="37" t="s">
        <v>4</v>
      </c>
      <c r="B15" s="22"/>
      <c r="C15" s="31">
        <v>0.94</v>
      </c>
      <c r="D15" s="31">
        <v>0.78</v>
      </c>
      <c r="E15" s="31">
        <v>1.1299999999999999</v>
      </c>
      <c r="F15" s="23"/>
      <c r="G15" s="31">
        <f t="shared" ref="G15:G28" si="3">LN(C15)</f>
        <v>-6.1875403718087529E-2</v>
      </c>
      <c r="H15" s="48">
        <f t="shared" ref="H15:H28" si="4">(LN(E15)-LN(D15))/3.92</f>
        <v>9.4560967352742026E-2</v>
      </c>
      <c r="I15" s="48">
        <f t="shared" ref="I15:I28" si="5">1/H15^2</f>
        <v>111.83459962109895</v>
      </c>
      <c r="J15" s="48">
        <f t="shared" si="0"/>
        <v>0.42816609935249561</v>
      </c>
      <c r="K15" s="48">
        <f t="shared" si="1"/>
        <v>12506.977672411504</v>
      </c>
      <c r="L15" s="48">
        <f t="shared" si="2"/>
        <v>1.0498435573643996E-2</v>
      </c>
      <c r="M15" s="48">
        <f t="shared" ref="M15:M28" si="6">1/L15</f>
        <v>95.252287160809914</v>
      </c>
    </row>
    <row r="16" spans="1:17" x14ac:dyDescent="0.25">
      <c r="A16" s="37" t="s">
        <v>5</v>
      </c>
      <c r="B16" s="22"/>
      <c r="C16" s="31">
        <v>1.01</v>
      </c>
      <c r="D16" s="31">
        <v>0.94</v>
      </c>
      <c r="E16" s="31">
        <v>1.08</v>
      </c>
      <c r="F16" s="23"/>
      <c r="G16" s="31">
        <f t="shared" si="3"/>
        <v>9.950330853168092E-3</v>
      </c>
      <c r="H16" s="48">
        <f t="shared" si="4"/>
        <v>3.5417460421993861E-2</v>
      </c>
      <c r="I16" s="48">
        <f t="shared" si="5"/>
        <v>797.19610012694648</v>
      </c>
      <c r="J16" s="48">
        <f t="shared" si="0"/>
        <v>7.8929655711702962E-2</v>
      </c>
      <c r="K16" s="48">
        <f t="shared" si="1"/>
        <v>635521.62205761252</v>
      </c>
      <c r="L16" s="48">
        <f t="shared" si="2"/>
        <v>2.811055529701153E-3</v>
      </c>
      <c r="M16" s="48">
        <f t="shared" si="6"/>
        <v>355.73825896862002</v>
      </c>
    </row>
    <row r="17" spans="1:13" x14ac:dyDescent="0.25">
      <c r="A17" s="37" t="s">
        <v>6</v>
      </c>
      <c r="B17" s="22"/>
      <c r="C17" s="31">
        <v>1.03</v>
      </c>
      <c r="D17" s="31">
        <v>1.01</v>
      </c>
      <c r="E17" s="31">
        <v>1.06</v>
      </c>
      <c r="F17" s="23"/>
      <c r="G17" s="31">
        <f t="shared" si="3"/>
        <v>2.9558802241544429E-2</v>
      </c>
      <c r="H17" s="48">
        <f t="shared" si="4"/>
        <v>1.2326167671124422E-2</v>
      </c>
      <c r="I17" s="48">
        <f t="shared" si="5"/>
        <v>6581.7875198650772</v>
      </c>
      <c r="J17" s="48">
        <f t="shared" si="0"/>
        <v>5.7506577547457516</v>
      </c>
      <c r="K17" s="48">
        <f t="shared" si="1"/>
        <v>43319926.956651688</v>
      </c>
      <c r="L17" s="48">
        <f t="shared" si="2"/>
        <v>1.7085934364143242E-3</v>
      </c>
      <c r="M17" s="48">
        <f t="shared" si="6"/>
        <v>585.27674207774828</v>
      </c>
    </row>
    <row r="18" spans="1:13" x14ac:dyDescent="0.25">
      <c r="A18" s="37" t="s">
        <v>7</v>
      </c>
      <c r="B18" s="22"/>
      <c r="C18" s="31">
        <v>1.06</v>
      </c>
      <c r="D18" s="31">
        <v>1.01</v>
      </c>
      <c r="E18" s="31">
        <v>1.1100000000000001</v>
      </c>
      <c r="F18" s="23"/>
      <c r="G18" s="31">
        <f t="shared" si="3"/>
        <v>5.8268908123975824E-2</v>
      </c>
      <c r="H18" s="48">
        <f t="shared" si="4"/>
        <v>2.4084103181396622E-2</v>
      </c>
      <c r="I18" s="48">
        <f t="shared" si="5"/>
        <v>1724.007066853366</v>
      </c>
      <c r="J18" s="48">
        <f t="shared" si="0"/>
        <v>5.853461981272134</v>
      </c>
      <c r="K18" s="48">
        <f t="shared" si="1"/>
        <v>2972200.3665603464</v>
      </c>
      <c r="L18" s="48">
        <f t="shared" si="2"/>
        <v>2.1367030530098103E-3</v>
      </c>
      <c r="M18" s="48">
        <f t="shared" si="6"/>
        <v>468.01075076453719</v>
      </c>
    </row>
    <row r="19" spans="1:13" x14ac:dyDescent="0.25">
      <c r="A19" s="37" t="s">
        <v>8</v>
      </c>
      <c r="B19" s="22"/>
      <c r="C19" s="31">
        <v>1.07</v>
      </c>
      <c r="D19" s="31">
        <v>1.06</v>
      </c>
      <c r="E19" s="31">
        <v>1.0900000000000001</v>
      </c>
      <c r="F19" s="23"/>
      <c r="G19" s="31">
        <f t="shared" si="3"/>
        <v>6.7658648473814864E-2</v>
      </c>
      <c r="H19" s="48">
        <f t="shared" si="4"/>
        <v>7.1195888053766808E-3</v>
      </c>
      <c r="I19" s="48">
        <f t="shared" si="5"/>
        <v>19728.323327908874</v>
      </c>
      <c r="J19" s="48">
        <f t="shared" si="0"/>
        <v>90.310201943858985</v>
      </c>
      <c r="K19" s="48">
        <f t="shared" si="1"/>
        <v>389206741.33051348</v>
      </c>
      <c r="L19" s="48">
        <f t="shared" si="2"/>
        <v>1.6073475717152963E-3</v>
      </c>
      <c r="M19" s="48">
        <f t="shared" si="6"/>
        <v>622.14297492162223</v>
      </c>
    </row>
    <row r="20" spans="1:13" x14ac:dyDescent="0.25">
      <c r="A20" s="37" t="s">
        <v>9</v>
      </c>
      <c r="B20" s="22"/>
      <c r="C20" s="31">
        <v>1.08</v>
      </c>
      <c r="D20" s="31">
        <v>0.97</v>
      </c>
      <c r="E20" s="31">
        <v>1.21</v>
      </c>
      <c r="F20" s="23"/>
      <c r="G20" s="31">
        <f t="shared" si="3"/>
        <v>7.6961041136128394E-2</v>
      </c>
      <c r="H20" s="48">
        <f t="shared" si="4"/>
        <v>5.6397848748305682E-2</v>
      </c>
      <c r="I20" s="48">
        <f t="shared" si="5"/>
        <v>314.39448779170681</v>
      </c>
      <c r="J20" s="48">
        <f t="shared" si="0"/>
        <v>1.8621591336868193</v>
      </c>
      <c r="K20" s="48">
        <f t="shared" si="1"/>
        <v>98843.893953809675</v>
      </c>
      <c r="L20" s="48">
        <f t="shared" si="2"/>
        <v>4.7373763703944163E-3</v>
      </c>
      <c r="M20" s="48">
        <f t="shared" si="6"/>
        <v>211.08730272083992</v>
      </c>
    </row>
    <row r="21" spans="1:13" x14ac:dyDescent="0.25">
      <c r="A21" s="37" t="s">
        <v>10</v>
      </c>
      <c r="B21" s="22"/>
      <c r="C21" s="31">
        <v>1.08</v>
      </c>
      <c r="D21" s="31">
        <v>1.08</v>
      </c>
      <c r="E21" s="31">
        <v>1.0900000000000001</v>
      </c>
      <c r="F21" s="23"/>
      <c r="G21" s="31">
        <f t="shared" si="3"/>
        <v>7.6961041136128394E-2</v>
      </c>
      <c r="H21" s="48">
        <f t="shared" si="4"/>
        <v>2.3511875267663313E-3</v>
      </c>
      <c r="I21" s="48">
        <f t="shared" si="5"/>
        <v>180894.54132789405</v>
      </c>
      <c r="J21" s="48">
        <f t="shared" si="0"/>
        <v>1071.4387034387164</v>
      </c>
      <c r="K21" s="48">
        <f t="shared" si="1"/>
        <v>32722835082.229172</v>
      </c>
      <c r="L21" s="48">
        <f t="shared" ref="L21" si="7">H21^2 + $K$36</f>
        <v>1.562187109743673E-3</v>
      </c>
      <c r="M21" s="48">
        <f t="shared" si="6"/>
        <v>640.12818551811131</v>
      </c>
    </row>
    <row r="22" spans="1:13" x14ac:dyDescent="0.25">
      <c r="A22" s="21" t="s">
        <v>15</v>
      </c>
      <c r="B22" s="22"/>
      <c r="C22" s="31">
        <v>1.1200000000000001</v>
      </c>
      <c r="D22" s="31">
        <v>1.1000000000000001</v>
      </c>
      <c r="E22" s="31">
        <v>1.1299999999999999</v>
      </c>
      <c r="F22" s="23"/>
      <c r="G22" s="31">
        <f t="shared" si="3"/>
        <v>0.11332868530700327</v>
      </c>
      <c r="H22" s="48">
        <f t="shared" si="4"/>
        <v>6.8641461530418819E-3</v>
      </c>
      <c r="I22" s="48">
        <f t="shared" si="5"/>
        <v>21223.986264756688</v>
      </c>
      <c r="J22" s="48">
        <f t="shared" si="0"/>
        <v>272.58795233919489</v>
      </c>
      <c r="K22" s="48">
        <f t="shared" si="1"/>
        <v>450457592.96658057</v>
      </c>
      <c r="L22" s="48">
        <f t="shared" ref="L22:L28" si="8">H22^2 + $K$36</f>
        <v>1.6037755293679711E-3</v>
      </c>
      <c r="M22" s="48">
        <f t="shared" si="6"/>
        <v>623.52865578020646</v>
      </c>
    </row>
    <row r="23" spans="1:13" x14ac:dyDescent="0.25">
      <c r="A23" s="37" t="s">
        <v>11</v>
      </c>
      <c r="B23" s="22"/>
      <c r="C23" s="31">
        <v>1.1200000000000001</v>
      </c>
      <c r="D23" s="31">
        <v>1.05</v>
      </c>
      <c r="E23" s="31">
        <v>1.2</v>
      </c>
      <c r="F23" s="23"/>
      <c r="G23" s="31">
        <f t="shared" si="3"/>
        <v>0.11332868530700327</v>
      </c>
      <c r="H23" s="48">
        <f t="shared" si="4"/>
        <v>3.4064130771561875E-2</v>
      </c>
      <c r="I23" s="48">
        <f t="shared" si="5"/>
        <v>861.79779250462809</v>
      </c>
      <c r="J23" s="48">
        <f t="shared" si="0"/>
        <v>11.068405937453994</v>
      </c>
      <c r="K23" s="48">
        <f t="shared" si="1"/>
        <v>742695.43516584998</v>
      </c>
      <c r="L23" s="48">
        <f t="shared" si="8"/>
        <v>2.71702403217972E-3</v>
      </c>
      <c r="M23" s="48">
        <f t="shared" si="6"/>
        <v>368.0497441893271</v>
      </c>
    </row>
    <row r="24" spans="1:13" x14ac:dyDescent="0.25">
      <c r="A24" s="37" t="s">
        <v>12</v>
      </c>
      <c r="B24" s="22"/>
      <c r="C24" s="31">
        <v>1.1299999999999999</v>
      </c>
      <c r="D24" s="31">
        <v>1.05</v>
      </c>
      <c r="E24" s="31">
        <v>1.22</v>
      </c>
      <c r="F24" s="23"/>
      <c r="G24" s="31">
        <f t="shared" si="3"/>
        <v>0.12221763272424911</v>
      </c>
      <c r="H24" s="48">
        <f t="shared" si="4"/>
        <v>3.8280789432584984E-2</v>
      </c>
      <c r="I24" s="48">
        <f t="shared" si="5"/>
        <v>682.39876067466412</v>
      </c>
      <c r="J24" s="48">
        <f t="shared" si="0"/>
        <v>10.193092476538022</v>
      </c>
      <c r="K24" s="48">
        <f t="shared" si="1"/>
        <v>465668.06857031753</v>
      </c>
      <c r="L24" s="48">
        <f t="shared" si="8"/>
        <v>3.0220778665395616E-3</v>
      </c>
      <c r="M24" s="48">
        <f t="shared" si="6"/>
        <v>330.89815820829682</v>
      </c>
    </row>
    <row r="25" spans="1:13" x14ac:dyDescent="0.25">
      <c r="A25" s="37" t="s">
        <v>13</v>
      </c>
      <c r="B25" s="22"/>
      <c r="C25" s="31">
        <v>1.1399999999999999</v>
      </c>
      <c r="D25" s="31">
        <v>1.07</v>
      </c>
      <c r="E25" s="31">
        <v>1.22</v>
      </c>
      <c r="F25" s="23"/>
      <c r="G25" s="31">
        <f t="shared" si="3"/>
        <v>0.131028262406404</v>
      </c>
      <c r="H25" s="48">
        <f t="shared" si="4"/>
        <v>3.3467400579426099E-2</v>
      </c>
      <c r="I25" s="48">
        <f t="shared" si="5"/>
        <v>892.80381254165798</v>
      </c>
      <c r="J25" s="48">
        <f t="shared" si="0"/>
        <v>15.328017929624135</v>
      </c>
      <c r="K25" s="48">
        <f t="shared" si="1"/>
        <v>797098.64768891991</v>
      </c>
      <c r="L25" s="48">
        <f t="shared" si="8"/>
        <v>2.6767259285014216E-3</v>
      </c>
      <c r="M25" s="48">
        <f t="shared" si="6"/>
        <v>373.59073237649511</v>
      </c>
    </row>
    <row r="26" spans="1:13" x14ac:dyDescent="0.25">
      <c r="A26" s="21" t="s">
        <v>16</v>
      </c>
      <c r="B26" s="22"/>
      <c r="C26" s="31">
        <v>1.1499999999999999</v>
      </c>
      <c r="D26" s="31">
        <v>1.1200000000000001</v>
      </c>
      <c r="E26" s="31">
        <v>1.17</v>
      </c>
      <c r="F26" s="23"/>
      <c r="G26" s="31">
        <f t="shared" si="3"/>
        <v>0.13976194237515863</v>
      </c>
      <c r="H26" s="48">
        <f t="shared" si="4"/>
        <v>1.1141597832311589E-2</v>
      </c>
      <c r="I26" s="48">
        <f t="shared" si="5"/>
        <v>8055.7326352110495</v>
      </c>
      <c r="J26" s="48">
        <f t="shared" si="0"/>
        <v>157.35585217834807</v>
      </c>
      <c r="K26" s="48">
        <f t="shared" si="1"/>
        <v>64894828.290004358</v>
      </c>
      <c r="L26" s="48">
        <f t="shared" si="8"/>
        <v>1.6807942292146217E-3</v>
      </c>
      <c r="M26" s="48">
        <f t="shared" si="6"/>
        <v>594.95682613526481</v>
      </c>
    </row>
    <row r="27" spans="1:13" x14ac:dyDescent="0.25">
      <c r="A27" s="21" t="s">
        <v>17</v>
      </c>
      <c r="B27" s="22"/>
      <c r="C27" s="31">
        <v>1.18</v>
      </c>
      <c r="D27" s="31">
        <v>1.1599999999999999</v>
      </c>
      <c r="E27" s="31">
        <v>1.2</v>
      </c>
      <c r="F27" s="23"/>
      <c r="G27" s="31">
        <f t="shared" si="3"/>
        <v>0.16551443847757333</v>
      </c>
      <c r="H27" s="48">
        <f t="shared" si="4"/>
        <v>8.648355019306473E-3</v>
      </c>
      <c r="I27" s="48">
        <f t="shared" si="5"/>
        <v>13370.048459749847</v>
      </c>
      <c r="J27" s="48">
        <f t="shared" si="0"/>
        <v>366.27286989285454</v>
      </c>
      <c r="K27" s="48">
        <f t="shared" si="1"/>
        <v>178758195.81605926</v>
      </c>
      <c r="L27" s="48">
        <f t="shared" si="8"/>
        <v>1.6314530714976148E-3</v>
      </c>
      <c r="M27" s="48">
        <f t="shared" si="6"/>
        <v>612.95051477149525</v>
      </c>
    </row>
    <row r="28" spans="1:13" ht="13.8" thickBot="1" x14ac:dyDescent="0.3">
      <c r="A28" s="37" t="s">
        <v>14</v>
      </c>
      <c r="B28" s="22"/>
      <c r="C28" s="31">
        <v>1.26</v>
      </c>
      <c r="D28" s="31">
        <v>1.19</v>
      </c>
      <c r="E28" s="31">
        <v>1.34</v>
      </c>
      <c r="F28" s="23"/>
      <c r="G28" s="31">
        <f t="shared" si="3"/>
        <v>0.23111172096338664</v>
      </c>
      <c r="H28" s="48">
        <f t="shared" si="4"/>
        <v>3.0284772152903587E-2</v>
      </c>
      <c r="I28" s="48">
        <f t="shared" si="5"/>
        <v>1090.3134732517594</v>
      </c>
      <c r="J28" s="48">
        <f t="shared" si="0"/>
        <v>58.236507477705871</v>
      </c>
      <c r="K28" s="48">
        <f t="shared" si="1"/>
        <v>1188783.4699543151</v>
      </c>
      <c r="L28" s="48">
        <f t="shared" si="8"/>
        <v>2.4738264513109358E-3</v>
      </c>
      <c r="M28" s="48">
        <f t="shared" si="6"/>
        <v>404.23207516035643</v>
      </c>
    </row>
    <row r="29" spans="1:13" s="7" customFormat="1" ht="13.8" thickBot="1" x14ac:dyDescent="0.3">
      <c r="A29" s="39" t="s">
        <v>20</v>
      </c>
      <c r="B29" s="41"/>
      <c r="C29" s="42">
        <f>EXP(G29)</f>
        <v>1.0889426441971166</v>
      </c>
      <c r="D29" s="42">
        <f>EXP(G29+H29*-1.96)</f>
        <v>1.0847362048963869</v>
      </c>
      <c r="E29" s="42">
        <f>EXP(G29+H29*1.96)</f>
        <v>1.0931653954191325</v>
      </c>
      <c r="F29" s="43"/>
      <c r="G29" s="42">
        <f>SUMPRODUCT(G14:G28,I14:I28)/SUM(I14:I28)</f>
        <v>8.520717424159166E-2</v>
      </c>
      <c r="H29" s="50">
        <f>1/SQRT(SUM(I14:I28))</f>
        <v>1.9746662946941822E-3</v>
      </c>
      <c r="I29" s="51"/>
      <c r="J29" s="52"/>
      <c r="K29" s="52"/>
      <c r="L29" s="52"/>
      <c r="M29" s="52"/>
    </row>
    <row r="30" spans="1:13" s="7" customFormat="1" ht="13.8" thickBot="1" x14ac:dyDescent="0.3">
      <c r="A30" s="39" t="s">
        <v>32</v>
      </c>
      <c r="B30" s="41"/>
      <c r="C30" s="42">
        <f>EXP(G30)</f>
        <v>1.1007692458400644</v>
      </c>
      <c r="D30" s="42">
        <f>EXP(G30-1.96*H30)</f>
        <v>1.0741108917031439</v>
      </c>
      <c r="E30" s="42">
        <f>EXP(G30+1.96*H30)</f>
        <v>1.1280892335669419</v>
      </c>
      <c r="F30" s="43"/>
      <c r="G30" s="42">
        <f>SUMPRODUCT(G14:G28,M14:M28)/SUM(M14:M28)</f>
        <v>9.6009249798006346E-2</v>
      </c>
      <c r="H30" s="50">
        <f>1/SQRT(SUM(M14:M28))</f>
        <v>1.2508167306692713E-2</v>
      </c>
      <c r="I30" s="51"/>
      <c r="J30" s="52"/>
      <c r="K30" s="52"/>
      <c r="L30" s="52"/>
      <c r="M30" s="52"/>
    </row>
    <row r="31" spans="1:13" x14ac:dyDescent="0.25">
      <c r="A31" s="73"/>
      <c r="C31" s="72"/>
      <c r="D31" s="72"/>
      <c r="E31" s="72"/>
      <c r="J31" s="54"/>
      <c r="K31" s="49"/>
    </row>
    <row r="32" spans="1:13" ht="25.2" customHeight="1" x14ac:dyDescent="0.25">
      <c r="A32" s="128" t="s">
        <v>39</v>
      </c>
      <c r="B32" s="9" t="s">
        <v>22</v>
      </c>
      <c r="C32" s="134" t="s">
        <v>38</v>
      </c>
      <c r="D32" s="134"/>
      <c r="E32" s="134"/>
      <c r="J32" s="55" t="s">
        <v>26</v>
      </c>
      <c r="K32" s="53">
        <f>SUM(J14:J28)-SUMPRODUCT(G14:G28,I14:I28)^2/SUM(I14:I28)</f>
        <v>207.70959830508605</v>
      </c>
    </row>
    <row r="33" spans="1:11" x14ac:dyDescent="0.25">
      <c r="A33" s="129"/>
      <c r="B33" s="61">
        <f>SUMPRODUCT(G14:G28-$G$29,G14:G28-$G$29,I14:I28)</f>
        <v>207.70959830508568</v>
      </c>
      <c r="C33" s="135">
        <f>_xlfn.CHISQ.DIST.RT(B33,COUNT(C14:C28)-1)</f>
        <v>1.4562597322251446E-36</v>
      </c>
      <c r="D33" s="135"/>
      <c r="E33" s="135"/>
      <c r="J33" s="55" t="s">
        <v>28</v>
      </c>
      <c r="K33" s="53">
        <f>COUNT(C14:C28)-1</f>
        <v>14</v>
      </c>
    </row>
    <row r="34" spans="1:11" x14ac:dyDescent="0.25">
      <c r="A34" s="129"/>
      <c r="B34" s="10"/>
      <c r="C34" s="11"/>
      <c r="D34" s="11"/>
      <c r="E34" s="11"/>
      <c r="J34" s="55" t="s">
        <v>29</v>
      </c>
      <c r="K34" s="53">
        <f>MAX(K32-K33,0)</f>
        <v>193.70959830508605</v>
      </c>
    </row>
    <row r="35" spans="1:11" x14ac:dyDescent="0.25">
      <c r="A35" s="14"/>
      <c r="B35" s="15"/>
      <c r="C35" s="16"/>
      <c r="D35" s="16"/>
      <c r="E35" s="16"/>
      <c r="J35" s="55" t="s">
        <v>30</v>
      </c>
      <c r="K35" s="53">
        <f>SUM(I14:I28)-SUM(K14:K28)/SUM(I14:I28)</f>
        <v>124439.32482996862</v>
      </c>
    </row>
    <row r="36" spans="1:11" x14ac:dyDescent="0.25">
      <c r="J36" s="55" t="s">
        <v>31</v>
      </c>
      <c r="K36" s="53">
        <f>K34/K35</f>
        <v>1.5566590269576513E-3</v>
      </c>
    </row>
    <row r="37" spans="1:11" x14ac:dyDescent="0.25">
      <c r="A37" s="18" t="s">
        <v>37</v>
      </c>
      <c r="B37" s="19">
        <f>(B33-COUNT(C14:C28)+1)/B33</f>
        <v>0.93259820386616565</v>
      </c>
      <c r="C37" s="17"/>
      <c r="D37" s="17"/>
      <c r="E37" s="17"/>
    </row>
  </sheetData>
  <mergeCells count="8">
    <mergeCell ref="A32:A34"/>
    <mergeCell ref="A1:M1"/>
    <mergeCell ref="A2:M2"/>
    <mergeCell ref="A3:M3"/>
    <mergeCell ref="C12:E12"/>
    <mergeCell ref="G12:M12"/>
    <mergeCell ref="C32:E32"/>
    <mergeCell ref="C33:E33"/>
  </mergeCells>
  <phoneticPr fontId="1" type="noConversion"/>
  <pageMargins left="0.7" right="0.7" top="0.75" bottom="0.75" header="0.3" footer="0.3"/>
  <pageSetup scale="5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118E-AF42-40BE-88C1-963A91265F5F}">
  <sheetPr>
    <pageSetUpPr fitToPage="1"/>
  </sheetPr>
  <dimension ref="A1:Q28"/>
  <sheetViews>
    <sheetView zoomScaleNormal="100" workbookViewId="0">
      <selection sqref="A1:M1"/>
    </sheetView>
  </sheetViews>
  <sheetFormatPr defaultRowHeight="13.2" x14ac:dyDescent="0.25"/>
  <cols>
    <col min="1" max="1" width="42.5546875" style="93" customWidth="1"/>
    <col min="2" max="2" width="28.6640625" style="79" customWidth="1"/>
    <col min="3" max="4" width="8.6640625" style="80" customWidth="1"/>
    <col min="5" max="5" width="8.5546875" style="80" customWidth="1"/>
    <col min="6" max="6" width="10.6640625" style="81" customWidth="1"/>
    <col min="7" max="9" width="21.6640625" style="80" customWidth="1"/>
    <col min="10" max="10" width="11.88671875" style="82" customWidth="1"/>
    <col min="11" max="11" width="10.88671875" style="82" customWidth="1"/>
    <col min="12" max="12" width="8.6640625" style="82" customWidth="1"/>
    <col min="13" max="13" width="16.109375" style="82" customWidth="1"/>
    <col min="14" max="14" width="10.6640625" style="77" customWidth="1"/>
    <col min="15" max="15" width="10.5546875" style="77" customWidth="1"/>
    <col min="16" max="18" width="8.6640625" style="77" customWidth="1"/>
    <col min="19" max="16384" width="8.88671875" style="77"/>
  </cols>
  <sheetData>
    <row r="1" spans="1:17" ht="17.399999999999999" x14ac:dyDescent="0.3">
      <c r="A1" s="140" t="s">
        <v>187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" ht="15.6" x14ac:dyDescent="0.3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ht="15.6" x14ac:dyDescent="0.3">
      <c r="A3" s="141" t="s">
        <v>107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customFormat="1" ht="15.6" x14ac:dyDescent="0.3">
      <c r="A4" s="20" t="s">
        <v>42</v>
      </c>
      <c r="B4" s="126"/>
      <c r="C4" s="126"/>
      <c r="D4" s="126"/>
      <c r="E4" s="126"/>
      <c r="F4" s="126"/>
    </row>
    <row r="5" spans="1:17" customFormat="1" ht="13.8" x14ac:dyDescent="0.3">
      <c r="A5" s="29" t="s">
        <v>43</v>
      </c>
      <c r="B5" s="22"/>
      <c r="C5" s="16"/>
      <c r="D5" s="16"/>
      <c r="E5" s="16"/>
      <c r="F5" s="23"/>
    </row>
    <row r="6" spans="1:17" customFormat="1" ht="13.8" x14ac:dyDescent="0.3">
      <c r="A6" s="29" t="s">
        <v>44</v>
      </c>
      <c r="B6" s="22"/>
      <c r="C6" s="16"/>
      <c r="D6" s="16"/>
      <c r="E6" s="16"/>
      <c r="F6" s="23"/>
    </row>
    <row r="7" spans="1:17" customFormat="1" ht="13.8" x14ac:dyDescent="0.3">
      <c r="A7" s="30" t="s">
        <v>45</v>
      </c>
      <c r="B7" s="22"/>
      <c r="C7" s="16"/>
      <c r="D7" s="16"/>
      <c r="E7" s="16"/>
      <c r="F7" s="23"/>
    </row>
    <row r="8" spans="1:17" customFormat="1" ht="13.8" x14ac:dyDescent="0.3">
      <c r="A8" s="30" t="s">
        <v>46</v>
      </c>
      <c r="B8" s="22"/>
      <c r="C8" s="16"/>
      <c r="D8" s="16"/>
      <c r="E8" s="16"/>
      <c r="F8" s="23"/>
    </row>
    <row r="9" spans="1:17" customFormat="1" ht="13.8" x14ac:dyDescent="0.3">
      <c r="A9" s="30" t="s">
        <v>47</v>
      </c>
      <c r="B9" s="22"/>
      <c r="C9" s="16"/>
      <c r="D9" s="16"/>
      <c r="E9" s="16"/>
      <c r="F9" s="23"/>
    </row>
    <row r="10" spans="1:17" customFormat="1" ht="13.8" x14ac:dyDescent="0.3">
      <c r="A10" s="30" t="s">
        <v>48</v>
      </c>
      <c r="B10" s="22"/>
      <c r="C10" s="16"/>
      <c r="D10" s="16"/>
      <c r="E10" s="16"/>
      <c r="F10" s="23"/>
    </row>
    <row r="11" spans="1:17" x14ac:dyDescent="0.25">
      <c r="A11" s="86"/>
      <c r="B11" s="83"/>
      <c r="C11" s="84"/>
      <c r="D11" s="84"/>
      <c r="E11" s="84"/>
      <c r="F11" s="85"/>
      <c r="G11" s="84"/>
      <c r="H11" s="84"/>
      <c r="I11" s="84"/>
    </row>
    <row r="12" spans="1:17" ht="22.2" customHeight="1" thickBot="1" x14ac:dyDescent="0.3">
      <c r="A12" s="87"/>
      <c r="C12" s="142" t="s">
        <v>21</v>
      </c>
      <c r="D12" s="142"/>
      <c r="E12" s="142"/>
      <c r="G12" s="142" t="s">
        <v>34</v>
      </c>
      <c r="H12" s="142"/>
      <c r="I12" s="142"/>
      <c r="J12" s="142"/>
      <c r="K12" s="142"/>
      <c r="L12" s="142"/>
      <c r="M12" s="142"/>
    </row>
    <row r="13" spans="1:17" ht="46.8" customHeight="1" thickBot="1" x14ac:dyDescent="0.3">
      <c r="A13" s="88" t="s">
        <v>108</v>
      </c>
      <c r="C13" s="89" t="s">
        <v>0</v>
      </c>
      <c r="D13" s="89" t="s">
        <v>1</v>
      </c>
      <c r="E13" s="89" t="s">
        <v>2</v>
      </c>
      <c r="F13" s="90"/>
      <c r="G13" s="91" t="s">
        <v>19</v>
      </c>
      <c r="H13" s="91" t="s">
        <v>18</v>
      </c>
      <c r="I13" s="91" t="s">
        <v>35</v>
      </c>
      <c r="J13" s="91" t="s">
        <v>23</v>
      </c>
      <c r="K13" s="91" t="s">
        <v>24</v>
      </c>
      <c r="L13" s="91" t="s">
        <v>25</v>
      </c>
      <c r="M13" s="91" t="s">
        <v>33</v>
      </c>
      <c r="O13" s="92"/>
      <c r="P13" s="92"/>
      <c r="Q13" s="92"/>
    </row>
    <row r="14" spans="1:17" ht="13.8" thickTop="1" x14ac:dyDescent="0.25">
      <c r="A14" s="93" t="s">
        <v>109</v>
      </c>
      <c r="C14" s="94">
        <v>1.04</v>
      </c>
      <c r="D14" s="94">
        <v>1.03</v>
      </c>
      <c r="E14" s="94">
        <v>1.05</v>
      </c>
      <c r="G14" s="80">
        <f>LN(C14)</f>
        <v>3.9220713153281329E-2</v>
      </c>
      <c r="H14" s="80">
        <f>(LN(E14)-LN(D14))/3.92</f>
        <v>4.9059596754815358E-3</v>
      </c>
      <c r="I14" s="80">
        <f>1/H14^2</f>
        <v>41548.184509653634</v>
      </c>
      <c r="J14" s="82">
        <f t="shared" ref="J14:J19" si="0">(G14^2)*I14</f>
        <v>63.912090633409683</v>
      </c>
      <c r="K14" s="82">
        <f t="shared" ref="K14:K19" si="1">I14^2</f>
        <v>1726251636.0482223</v>
      </c>
      <c r="L14" s="82">
        <f t="shared" ref="L14:L19" si="2">H14^2 + $K$27</f>
        <v>3.0824011549265497E-3</v>
      </c>
      <c r="M14" s="82">
        <f>1/L14</f>
        <v>324.42240634439059</v>
      </c>
    </row>
    <row r="15" spans="1:17" x14ac:dyDescent="0.25">
      <c r="A15" s="93" t="s">
        <v>110</v>
      </c>
      <c r="C15" s="94">
        <v>1.06</v>
      </c>
      <c r="D15" s="94">
        <v>0.97</v>
      </c>
      <c r="E15" s="94">
        <v>1.1599999999999999</v>
      </c>
      <c r="G15" s="80">
        <f t="shared" ref="G15:G19" si="3">LN(C15)</f>
        <v>5.8268908123975824E-2</v>
      </c>
      <c r="H15" s="80">
        <f t="shared" ref="H15:H19" si="4">(LN(E15)-LN(D15))/3.92</f>
        <v>4.5632452194638212E-2</v>
      </c>
      <c r="I15" s="80">
        <f t="shared" ref="I15:I19" si="5">1/H15^2</f>
        <v>480.23342572520784</v>
      </c>
      <c r="J15" s="82">
        <f t="shared" si="0"/>
        <v>1.63052005624851</v>
      </c>
      <c r="K15" s="82">
        <f t="shared" si="1"/>
        <v>230624.14318376873</v>
      </c>
      <c r="L15" s="82">
        <f t="shared" si="2"/>
        <v>5.1406534078850402E-3</v>
      </c>
      <c r="M15" s="82">
        <f t="shared" ref="M15:M19" si="6">1/L15</f>
        <v>194.52780038937084</v>
      </c>
    </row>
    <row r="16" spans="1:17" x14ac:dyDescent="0.25">
      <c r="A16" s="93" t="s">
        <v>111</v>
      </c>
      <c r="C16" s="94">
        <v>1.1299999999999999</v>
      </c>
      <c r="D16" s="94">
        <v>1.1100000000000001</v>
      </c>
      <c r="E16" s="94">
        <v>1.1499999999999999</v>
      </c>
      <c r="G16" s="80">
        <f t="shared" si="3"/>
        <v>0.12221763272424911</v>
      </c>
      <c r="H16" s="80">
        <f t="shared" si="4"/>
        <v>9.0311038395193294E-3</v>
      </c>
      <c r="I16" s="80">
        <f t="shared" si="5"/>
        <v>12260.78645309304</v>
      </c>
      <c r="J16" s="82">
        <f t="shared" si="0"/>
        <v>183.14120328692152</v>
      </c>
      <c r="K16" s="82">
        <f t="shared" si="1"/>
        <v>150326884.4483498</v>
      </c>
      <c r="L16" s="82">
        <f t="shared" si="2"/>
        <v>3.1398935511492794E-3</v>
      </c>
      <c r="M16" s="82">
        <f t="shared" si="6"/>
        <v>318.48213441311572</v>
      </c>
    </row>
    <row r="17" spans="1:17" x14ac:dyDescent="0.25">
      <c r="A17" s="93" t="s">
        <v>112</v>
      </c>
      <c r="C17" s="94">
        <v>1.1299999999999999</v>
      </c>
      <c r="D17" s="94">
        <v>1</v>
      </c>
      <c r="E17" s="94">
        <v>1.27</v>
      </c>
      <c r="G17" s="80">
        <f t="shared" si="3"/>
        <v>0.12221763272424911</v>
      </c>
      <c r="H17" s="80">
        <f t="shared" si="4"/>
        <v>6.0973699099617328E-2</v>
      </c>
      <c r="I17" s="80">
        <f t="shared" si="5"/>
        <v>268.97685638975753</v>
      </c>
      <c r="J17" s="82">
        <f t="shared" si="0"/>
        <v>4.0177475828336133</v>
      </c>
      <c r="K17" s="82">
        <f t="shared" si="1"/>
        <v>72348.549273316239</v>
      </c>
      <c r="L17" s="82">
        <f t="shared" si="2"/>
        <v>6.7761246964797737E-3</v>
      </c>
      <c r="M17" s="82">
        <f t="shared" si="6"/>
        <v>147.57697722409156</v>
      </c>
    </row>
    <row r="18" spans="1:17" x14ac:dyDescent="0.25">
      <c r="A18" s="93" t="s">
        <v>113</v>
      </c>
      <c r="C18" s="94">
        <v>1.1399999999999999</v>
      </c>
      <c r="D18" s="94">
        <v>1.03</v>
      </c>
      <c r="E18" s="94">
        <v>1.27</v>
      </c>
      <c r="G18" s="80">
        <f t="shared" si="3"/>
        <v>0.131028262406404</v>
      </c>
      <c r="H18" s="80">
        <f t="shared" si="4"/>
        <v>5.3433188323713139E-2</v>
      </c>
      <c r="I18" s="80">
        <f t="shared" si="5"/>
        <v>350.2497403049843</v>
      </c>
      <c r="J18" s="82">
        <f t="shared" si="0"/>
        <v>6.013229585072474</v>
      </c>
      <c r="K18" s="82">
        <f t="shared" si="1"/>
        <v>122674.88058370895</v>
      </c>
      <c r="L18" s="82">
        <f t="shared" si="2"/>
        <v>5.9134383290264936E-3</v>
      </c>
      <c r="M18" s="82">
        <f t="shared" si="6"/>
        <v>169.10635477357317</v>
      </c>
    </row>
    <row r="19" spans="1:17" ht="13.8" thickBot="1" x14ac:dyDescent="0.3">
      <c r="A19" s="93" t="s">
        <v>114</v>
      </c>
      <c r="C19" s="94">
        <v>1.1499999999999999</v>
      </c>
      <c r="D19" s="94">
        <v>0.98</v>
      </c>
      <c r="E19" s="94">
        <v>1.35</v>
      </c>
      <c r="G19" s="80">
        <f t="shared" si="3"/>
        <v>0.13976194237515863</v>
      </c>
      <c r="H19" s="80">
        <f t="shared" si="4"/>
        <v>8.1711045859147347E-2</v>
      </c>
      <c r="I19" s="80">
        <f t="shared" si="5"/>
        <v>149.7747010600479</v>
      </c>
      <c r="J19" s="82">
        <f t="shared" si="0"/>
        <v>2.9256092260370461</v>
      </c>
      <c r="K19" s="82">
        <f t="shared" si="1"/>
        <v>22432.461077626715</v>
      </c>
      <c r="L19" s="82">
        <f t="shared" si="2"/>
        <v>9.7350277299847795E-3</v>
      </c>
      <c r="M19" s="82">
        <f t="shared" si="6"/>
        <v>102.72184401898602</v>
      </c>
    </row>
    <row r="20" spans="1:17" s="96" customFormat="1" ht="13.8" thickBot="1" x14ac:dyDescent="0.3">
      <c r="A20" s="105" t="s">
        <v>20</v>
      </c>
      <c r="B20" s="106"/>
      <c r="C20" s="107">
        <f>EXP(G20)</f>
        <v>1.0609155365631184</v>
      </c>
      <c r="D20" s="107">
        <f>EXP(G20+H20*-1.96)</f>
        <v>1.0520905658078503</v>
      </c>
      <c r="E20" s="107">
        <f>EXP(G20+H20*1.96)</f>
        <v>1.0698145314674117</v>
      </c>
      <c r="F20" s="108"/>
      <c r="G20" s="109">
        <f>SUMPRODUCT(G14:G19,I14:I19)/SUM(I14:I19)</f>
        <v>5.9132249076693608E-2</v>
      </c>
      <c r="H20" s="109">
        <f>1/SQRT(SUM(I14:I19))</f>
        <v>4.2617598447322203E-3</v>
      </c>
      <c r="I20" s="110"/>
      <c r="J20" s="95"/>
      <c r="K20" s="95"/>
      <c r="L20" s="95"/>
      <c r="M20" s="95"/>
    </row>
    <row r="21" spans="1:17" s="96" customFormat="1" ht="13.8" thickBot="1" x14ac:dyDescent="0.3">
      <c r="A21" s="105" t="s">
        <v>32</v>
      </c>
      <c r="B21" s="106"/>
      <c r="C21" s="107">
        <f>EXP(G21)</f>
        <v>1.098027770665972</v>
      </c>
      <c r="D21" s="107">
        <f>EXP(G21-1.96*H21)</f>
        <v>1.0389696126980745</v>
      </c>
      <c r="E21" s="107">
        <f>EXP(G21+1.96*H21)</f>
        <v>1.1604429719775182</v>
      </c>
      <c r="F21" s="108"/>
      <c r="G21" s="109">
        <f>SUMPRODUCT(G14:G19,M14:M19)/SUM(M14:M19)</f>
        <v>9.3515634813012449E-2</v>
      </c>
      <c r="H21" s="109">
        <f>1/SQRT(SUM(M14:M19))</f>
        <v>2.8207229492330309E-2</v>
      </c>
      <c r="I21" s="110"/>
      <c r="J21" s="95"/>
      <c r="K21" s="95"/>
      <c r="L21" s="95"/>
      <c r="M21" s="95"/>
    </row>
    <row r="22" spans="1:17" x14ac:dyDescent="0.25">
      <c r="C22" s="94"/>
      <c r="D22" s="94"/>
      <c r="E22" s="94"/>
      <c r="J22" s="92"/>
      <c r="K22" s="91" t="s">
        <v>27</v>
      </c>
    </row>
    <row r="23" spans="1:17" s="82" customFormat="1" ht="25.2" customHeight="1" x14ac:dyDescent="0.25">
      <c r="A23" s="136" t="s">
        <v>39</v>
      </c>
      <c r="B23" s="97" t="s">
        <v>22</v>
      </c>
      <c r="C23" s="138" t="s">
        <v>38</v>
      </c>
      <c r="D23" s="138"/>
      <c r="E23" s="138"/>
      <c r="F23" s="81"/>
      <c r="G23" s="80"/>
      <c r="H23" s="80"/>
      <c r="I23" s="80"/>
      <c r="J23" s="95" t="s">
        <v>26</v>
      </c>
      <c r="K23" s="82">
        <f>SUM(J14:J19)-SUMPRODUCT(G14:G19,I14:I19)^2/SUM(I14:I19)</f>
        <v>69.122618588518776</v>
      </c>
      <c r="N23" s="77"/>
      <c r="O23" s="77"/>
      <c r="P23" s="77"/>
      <c r="Q23" s="77"/>
    </row>
    <row r="24" spans="1:17" s="82" customFormat="1" x14ac:dyDescent="0.25">
      <c r="A24" s="137"/>
      <c r="B24" s="98">
        <f>SUMPRODUCT(G14:G19-$G$20,G14:G19-$G$20,I14:I19)</f>
        <v>69.122618588518719</v>
      </c>
      <c r="C24" s="139">
        <f>_xlfn.CHISQ.DIST.RT(B24,COUNT(C14:C19)-1)</f>
        <v>1.5601706773903143E-13</v>
      </c>
      <c r="D24" s="139"/>
      <c r="E24" s="139"/>
      <c r="F24" s="81"/>
      <c r="G24" s="80"/>
      <c r="H24" s="80"/>
      <c r="I24" s="80"/>
      <c r="J24" s="95" t="s">
        <v>28</v>
      </c>
      <c r="K24" s="94">
        <f>COUNT(C14:C19)-1</f>
        <v>5</v>
      </c>
      <c r="N24" s="77"/>
      <c r="O24" s="77"/>
      <c r="P24" s="77"/>
      <c r="Q24" s="77"/>
    </row>
    <row r="25" spans="1:17" s="82" customFormat="1" x14ac:dyDescent="0.25">
      <c r="A25" s="137"/>
      <c r="B25" s="98"/>
      <c r="C25" s="99"/>
      <c r="D25" s="99"/>
      <c r="E25" s="99"/>
      <c r="F25" s="81"/>
      <c r="G25" s="80"/>
      <c r="H25" s="80"/>
      <c r="I25" s="80"/>
      <c r="J25" s="95" t="s">
        <v>29</v>
      </c>
      <c r="K25" s="94">
        <f>MAX(K23-K24,0)</f>
        <v>64.122618588518776</v>
      </c>
      <c r="N25" s="77"/>
      <c r="O25" s="77"/>
      <c r="P25" s="77"/>
      <c r="Q25" s="77"/>
    </row>
    <row r="26" spans="1:17" s="82" customFormat="1" x14ac:dyDescent="0.25">
      <c r="A26" s="100"/>
      <c r="B26" s="101"/>
      <c r="C26" s="84"/>
      <c r="D26" s="84"/>
      <c r="E26" s="84"/>
      <c r="F26" s="81"/>
      <c r="G26" s="80"/>
      <c r="H26" s="80"/>
      <c r="I26" s="80"/>
      <c r="J26" s="95" t="s">
        <v>30</v>
      </c>
      <c r="K26" s="82">
        <f>SUM(I14:I19)-SUM(K14:K19)/SUM(I14:I19)</f>
        <v>20966.528030987611</v>
      </c>
      <c r="N26" s="77"/>
      <c r="O26" s="77"/>
      <c r="P26" s="77"/>
      <c r="Q26" s="77"/>
    </row>
    <row r="27" spans="1:17" s="82" customFormat="1" x14ac:dyDescent="0.25">
      <c r="A27" s="93"/>
      <c r="B27" s="79"/>
      <c r="C27" s="80"/>
      <c r="D27" s="80"/>
      <c r="E27" s="80"/>
      <c r="F27" s="81"/>
      <c r="G27" s="80"/>
      <c r="H27" s="80"/>
      <c r="I27" s="80"/>
      <c r="J27" s="95" t="s">
        <v>31</v>
      </c>
      <c r="K27" s="82">
        <f>K25/K26</f>
        <v>3.0583327145890988E-3</v>
      </c>
      <c r="N27" s="77"/>
      <c r="O27" s="77"/>
      <c r="P27" s="77"/>
      <c r="Q27" s="77"/>
    </row>
    <row r="28" spans="1:17" s="82" customFormat="1" x14ac:dyDescent="0.25">
      <c r="A28" s="102" t="s">
        <v>37</v>
      </c>
      <c r="B28" s="103">
        <f>(B24-COUNT(C14:C19)+1)/B24</f>
        <v>0.92766477743320763</v>
      </c>
      <c r="C28" s="104"/>
      <c r="D28" s="104"/>
      <c r="E28" s="104"/>
      <c r="F28" s="81"/>
      <c r="G28" s="80"/>
      <c r="H28" s="80"/>
      <c r="I28" s="80"/>
      <c r="N28" s="77"/>
      <c r="O28" s="77"/>
      <c r="P28" s="77"/>
      <c r="Q28" s="77"/>
    </row>
  </sheetData>
  <mergeCells count="8">
    <mergeCell ref="A23:A25"/>
    <mergeCell ref="C23:E23"/>
    <mergeCell ref="C24:E24"/>
    <mergeCell ref="A1:M1"/>
    <mergeCell ref="A2:M2"/>
    <mergeCell ref="A3:M3"/>
    <mergeCell ref="C12:E12"/>
    <mergeCell ref="G12:M12"/>
  </mergeCells>
  <pageMargins left="0.5" right="0.25" top="1" bottom="0.25" header="0.5" footer="0.5"/>
  <pageSetup scale="6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7F07-8C4D-4131-8638-BA1453B96391}">
  <sheetPr>
    <pageSetUpPr fitToPage="1"/>
  </sheetPr>
  <dimension ref="A1:Q26"/>
  <sheetViews>
    <sheetView zoomScaleNormal="100" workbookViewId="0">
      <selection sqref="A1:O1"/>
    </sheetView>
  </sheetViews>
  <sheetFormatPr defaultRowHeight="13.2" x14ac:dyDescent="0.25"/>
  <cols>
    <col min="1" max="1" width="42.5546875" style="93" customWidth="1"/>
    <col min="2" max="2" width="28.6640625" style="79" customWidth="1"/>
    <col min="3" max="4" width="8.6640625" style="80" customWidth="1"/>
    <col min="5" max="5" width="8.5546875" style="80" customWidth="1"/>
    <col min="6" max="6" width="10.6640625" style="81" customWidth="1"/>
    <col min="7" max="9" width="21.6640625" style="80" customWidth="1"/>
    <col min="10" max="10" width="11.88671875" style="82" customWidth="1"/>
    <col min="11" max="11" width="10.88671875" style="82" customWidth="1"/>
    <col min="12" max="12" width="8.6640625" style="82" customWidth="1"/>
    <col min="13" max="13" width="16.109375" style="82" customWidth="1"/>
    <col min="14" max="14" width="10.6640625" style="77" customWidth="1"/>
    <col min="15" max="15" width="10.5546875" style="77" customWidth="1"/>
    <col min="16" max="18" width="8.6640625" style="77" customWidth="1"/>
    <col min="19" max="16384" width="8.88671875" style="77"/>
  </cols>
  <sheetData>
    <row r="1" spans="1:17" ht="17.399999999999999" x14ac:dyDescent="0.3">
      <c r="A1" s="140" t="s">
        <v>186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" ht="15.6" x14ac:dyDescent="0.3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ht="15.6" x14ac:dyDescent="0.3">
      <c r="A3" s="141" t="s">
        <v>115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5.6" x14ac:dyDescent="0.3">
      <c r="A5" s="20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7" ht="13.8" x14ac:dyDescent="0.3">
      <c r="A6" s="29" t="s">
        <v>43</v>
      </c>
    </row>
    <row r="7" spans="1:17" ht="13.8" x14ac:dyDescent="0.3">
      <c r="A7" s="29" t="s">
        <v>44</v>
      </c>
    </row>
    <row r="8" spans="1:17" ht="13.8" x14ac:dyDescent="0.3">
      <c r="A8" s="30" t="s">
        <v>45</v>
      </c>
    </row>
    <row r="9" spans="1:17" ht="13.8" x14ac:dyDescent="0.3">
      <c r="A9" s="30" t="s">
        <v>46</v>
      </c>
      <c r="B9" s="83"/>
      <c r="C9" s="84"/>
      <c r="D9" s="84"/>
      <c r="E9" s="84"/>
      <c r="F9" s="85"/>
      <c r="G9" s="84"/>
      <c r="H9" s="84"/>
      <c r="I9" s="84"/>
    </row>
    <row r="10" spans="1:17" ht="13.8" x14ac:dyDescent="0.3">
      <c r="A10" s="30" t="s">
        <v>47</v>
      </c>
      <c r="B10" s="83"/>
      <c r="C10" s="84"/>
      <c r="D10" s="84"/>
      <c r="E10" s="84"/>
      <c r="F10" s="85"/>
      <c r="G10" s="84"/>
      <c r="H10" s="84"/>
      <c r="I10" s="84"/>
    </row>
    <row r="11" spans="1:17" ht="13.8" x14ac:dyDescent="0.3">
      <c r="A11" s="30" t="s">
        <v>48</v>
      </c>
      <c r="B11" s="83"/>
      <c r="C11" s="84"/>
      <c r="D11" s="84"/>
      <c r="E11" s="84"/>
      <c r="F11" s="85"/>
      <c r="G11" s="84"/>
      <c r="H11" s="84"/>
      <c r="I11" s="84"/>
    </row>
    <row r="12" spans="1:17" x14ac:dyDescent="0.25">
      <c r="A12" s="86"/>
      <c r="B12" s="83"/>
      <c r="C12" s="84"/>
      <c r="D12" s="84"/>
      <c r="E12" s="84"/>
      <c r="F12" s="85"/>
      <c r="G12" s="84"/>
      <c r="H12" s="84"/>
      <c r="I12" s="84"/>
    </row>
    <row r="13" spans="1:17" ht="22.2" customHeight="1" thickBot="1" x14ac:dyDescent="0.3">
      <c r="A13" s="87"/>
      <c r="C13" s="142" t="s">
        <v>21</v>
      </c>
      <c r="D13" s="142"/>
      <c r="E13" s="142"/>
      <c r="G13" s="142" t="s">
        <v>34</v>
      </c>
      <c r="H13" s="142"/>
      <c r="I13" s="142"/>
      <c r="J13" s="142"/>
      <c r="K13" s="142"/>
      <c r="L13" s="142"/>
      <c r="M13" s="142"/>
    </row>
    <row r="14" spans="1:17" ht="46.8" customHeight="1" thickBot="1" x14ac:dyDescent="0.3">
      <c r="A14" s="88" t="s">
        <v>116</v>
      </c>
      <c r="C14" s="89" t="s">
        <v>0</v>
      </c>
      <c r="D14" s="89" t="s">
        <v>1</v>
      </c>
      <c r="E14" s="89" t="s">
        <v>2</v>
      </c>
      <c r="F14" s="90"/>
      <c r="G14" s="91" t="s">
        <v>19</v>
      </c>
      <c r="H14" s="91" t="s">
        <v>18</v>
      </c>
      <c r="I14" s="91" t="s">
        <v>35</v>
      </c>
      <c r="J14" s="91" t="s">
        <v>23</v>
      </c>
      <c r="K14" s="91" t="s">
        <v>24</v>
      </c>
      <c r="L14" s="91" t="s">
        <v>25</v>
      </c>
      <c r="M14" s="91" t="s">
        <v>33</v>
      </c>
      <c r="O14" s="92"/>
      <c r="P14" s="92"/>
      <c r="Q14" s="92"/>
    </row>
    <row r="15" spans="1:17" ht="13.8" thickTop="1" x14ac:dyDescent="0.25">
      <c r="A15" s="93" t="s">
        <v>117</v>
      </c>
      <c r="C15" s="94">
        <v>0.92</v>
      </c>
      <c r="D15" s="94">
        <v>0.72</v>
      </c>
      <c r="E15" s="94">
        <v>1.17</v>
      </c>
      <c r="G15" s="80">
        <f>LN(C15)</f>
        <v>-8.3381608939051013E-2</v>
      </c>
      <c r="H15" s="80">
        <f>(LN(E15)-LN(D15))/3.92</f>
        <v>0.12385403463818898</v>
      </c>
      <c r="I15" s="80">
        <f>1/H15^2</f>
        <v>65.189805120910691</v>
      </c>
      <c r="J15" s="82">
        <f t="shared" ref="J15:J17" si="0">(G15^2)*I15</f>
        <v>0.45323164482152678</v>
      </c>
      <c r="K15" s="82">
        <f t="shared" ref="K15:K17" si="1">I15^2</f>
        <v>4249.7106917023139</v>
      </c>
      <c r="L15" s="82">
        <f>H15^2 + $K$25</f>
        <v>1.6213388056998623E-2</v>
      </c>
      <c r="M15" s="82">
        <f>1/L15</f>
        <v>61.677423403700189</v>
      </c>
    </row>
    <row r="16" spans="1:17" x14ac:dyDescent="0.25">
      <c r="A16" s="93" t="s">
        <v>118</v>
      </c>
      <c r="C16" s="94">
        <v>1.0900000000000001</v>
      </c>
      <c r="D16" s="94">
        <v>1.0900000000000001</v>
      </c>
      <c r="E16" s="94">
        <v>1.1000000000000001</v>
      </c>
      <c r="G16" s="80">
        <f t="shared" ref="G16:G17" si="2">LN(C16)</f>
        <v>8.6177696241052412E-2</v>
      </c>
      <c r="H16" s="80">
        <f t="shared" ref="H16:H17" si="3">(LN(E16)-LN(D16))/3.92</f>
        <v>2.3297151947123782E-3</v>
      </c>
      <c r="I16" s="80">
        <f t="shared" ref="I16:I17" si="4">1/H16^2</f>
        <v>184244.4165279936</v>
      </c>
      <c r="J16" s="82">
        <f t="shared" si="0"/>
        <v>1368.3087232576072</v>
      </c>
      <c r="K16" s="82">
        <f t="shared" si="1"/>
        <v>33946005021.740799</v>
      </c>
      <c r="L16" s="82">
        <f>H16^2 + $K$25</f>
        <v>8.7899373372938411E-4</v>
      </c>
      <c r="M16" s="82">
        <f t="shared" ref="M16:M17" si="5">1/L16</f>
        <v>1137.6645380134987</v>
      </c>
    </row>
    <row r="17" spans="1:17" ht="13.8" thickBot="1" x14ac:dyDescent="0.3">
      <c r="A17" s="93" t="s">
        <v>119</v>
      </c>
      <c r="C17" s="94">
        <v>1.1399999999999999</v>
      </c>
      <c r="D17" s="94">
        <v>1.07</v>
      </c>
      <c r="E17" s="94">
        <v>1.22</v>
      </c>
      <c r="G17" s="80">
        <f t="shared" si="2"/>
        <v>0.131028262406404</v>
      </c>
      <c r="H17" s="80">
        <f t="shared" si="3"/>
        <v>3.3467400579426099E-2</v>
      </c>
      <c r="I17" s="80">
        <f t="shared" si="4"/>
        <v>892.80381254165798</v>
      </c>
      <c r="J17" s="82">
        <f t="shared" si="0"/>
        <v>15.328017929624135</v>
      </c>
      <c r="K17" s="82">
        <f t="shared" si="1"/>
        <v>797098.64768891991</v>
      </c>
      <c r="L17" s="82">
        <f>H17^2 + $K$25</f>
        <v>1.9936330623846806E-3</v>
      </c>
      <c r="M17" s="82">
        <f t="shared" si="5"/>
        <v>501.59681782356267</v>
      </c>
    </row>
    <row r="18" spans="1:17" s="96" customFormat="1" ht="13.8" thickBot="1" x14ac:dyDescent="0.3">
      <c r="A18" s="105" t="s">
        <v>20</v>
      </c>
      <c r="B18" s="106"/>
      <c r="C18" s="107">
        <f>EXP(G18)</f>
        <v>1.0901706280234671</v>
      </c>
      <c r="D18" s="107">
        <f>EXP(G18+H18*-1.96)</f>
        <v>1.085216826213351</v>
      </c>
      <c r="E18" s="107">
        <f>EXP(G18+H18*1.96)</f>
        <v>1.0951470429665362</v>
      </c>
      <c r="F18" s="108"/>
      <c r="G18" s="109">
        <f>SUMPRODUCT(G15:G17,I15:I17)/SUM(I15:I17)</f>
        <v>8.6334223461098591E-2</v>
      </c>
      <c r="H18" s="109">
        <f>1/SQRT(SUM(I15:I17))</f>
        <v>2.3236819418474153E-3</v>
      </c>
      <c r="I18" s="110"/>
      <c r="J18" s="95"/>
      <c r="K18" s="95"/>
      <c r="L18" s="95"/>
      <c r="M18" s="95"/>
    </row>
    <row r="19" spans="1:17" s="96" customFormat="1" ht="13.8" thickBot="1" x14ac:dyDescent="0.3">
      <c r="A19" s="105" t="s">
        <v>32</v>
      </c>
      <c r="B19" s="106"/>
      <c r="C19" s="107">
        <f>EXP(G19)</f>
        <v>1.0977421785826358</v>
      </c>
      <c r="D19" s="107">
        <f>EXP(G19-1.96*H19)</f>
        <v>1.0467934589608323</v>
      </c>
      <c r="E19" s="107">
        <f>EXP(G19+1.96*H19)</f>
        <v>1.1511706347836859</v>
      </c>
      <c r="F19" s="108"/>
      <c r="G19" s="109">
        <f>SUMPRODUCT(G15:G17,M15:M17)/SUM(M15:M17)</f>
        <v>9.3255505481117371E-2</v>
      </c>
      <c r="H19" s="109">
        <f>1/SQRT(SUM(M15:M17))</f>
        <v>2.4246868587379723E-2</v>
      </c>
      <c r="I19" s="110"/>
      <c r="J19" s="95"/>
      <c r="K19" s="95"/>
      <c r="L19" s="95"/>
      <c r="M19" s="95"/>
    </row>
    <row r="20" spans="1:17" x14ac:dyDescent="0.25">
      <c r="C20" s="94"/>
      <c r="D20" s="94"/>
      <c r="E20" s="94"/>
      <c r="J20" s="92"/>
      <c r="K20" s="91" t="s">
        <v>27</v>
      </c>
    </row>
    <row r="21" spans="1:17" s="82" customFormat="1" ht="25.2" customHeight="1" x14ac:dyDescent="0.25">
      <c r="A21" s="136" t="s">
        <v>39</v>
      </c>
      <c r="B21" s="97" t="s">
        <v>22</v>
      </c>
      <c r="C21" s="138" t="s">
        <v>38</v>
      </c>
      <c r="D21" s="138"/>
      <c r="E21" s="138"/>
      <c r="F21" s="81"/>
      <c r="G21" s="80"/>
      <c r="H21" s="80"/>
      <c r="I21" s="80"/>
      <c r="J21" s="95" t="s">
        <v>26</v>
      </c>
      <c r="K21" s="82">
        <f>SUM(J15:J17)-SUMPRODUCT(G15:G17,I15:I17)^2/SUM(I15:I17)</f>
        <v>3.6656329300276411</v>
      </c>
      <c r="N21" s="77"/>
      <c r="O21" s="77"/>
      <c r="P21" s="77"/>
      <c r="Q21" s="77"/>
    </row>
    <row r="22" spans="1:17" s="82" customFormat="1" x14ac:dyDescent="0.25">
      <c r="A22" s="137"/>
      <c r="B22" s="98">
        <f>SUMPRODUCT(G15:G17-$G$18,G15:G17-$G$18,I15:I17)</f>
        <v>3.665632930028023</v>
      </c>
      <c r="C22" s="139">
        <f>_xlfn.CHISQ.DIST.RT(B22,COUNT(C15:C17)-1)</f>
        <v>0.15996240421518931</v>
      </c>
      <c r="D22" s="139"/>
      <c r="E22" s="139"/>
      <c r="F22" s="81"/>
      <c r="G22" s="80"/>
      <c r="H22" s="80"/>
      <c r="I22" s="80"/>
      <c r="J22" s="95" t="s">
        <v>28</v>
      </c>
      <c r="K22" s="94">
        <f>COUNT(C15:C17)-1</f>
        <v>2</v>
      </c>
      <c r="N22" s="77"/>
      <c r="O22" s="77"/>
      <c r="P22" s="77"/>
      <c r="Q22" s="77"/>
    </row>
    <row r="23" spans="1:17" s="82" customFormat="1" x14ac:dyDescent="0.25">
      <c r="A23" s="137"/>
      <c r="B23" s="98"/>
      <c r="C23" s="99"/>
      <c r="D23" s="99"/>
      <c r="E23" s="99"/>
      <c r="F23" s="81"/>
      <c r="G23" s="80"/>
      <c r="H23" s="80"/>
      <c r="I23" s="80"/>
      <c r="J23" s="95" t="s">
        <v>29</v>
      </c>
      <c r="K23" s="94">
        <f>MAX(K21-K22,0)</f>
        <v>1.6656329300276411</v>
      </c>
      <c r="N23" s="77"/>
      <c r="O23" s="77"/>
      <c r="P23" s="77"/>
      <c r="Q23" s="77"/>
    </row>
    <row r="24" spans="1:17" s="82" customFormat="1" x14ac:dyDescent="0.25">
      <c r="A24" s="100"/>
      <c r="B24" s="101"/>
      <c r="C24" s="84"/>
      <c r="D24" s="84"/>
      <c r="E24" s="84"/>
      <c r="F24" s="81"/>
      <c r="G24" s="80"/>
      <c r="H24" s="80"/>
      <c r="I24" s="80"/>
      <c r="J24" s="95" t="s">
        <v>30</v>
      </c>
      <c r="K24" s="82">
        <f>SUM(I15:I17)-SUM(K15:K17)/SUM(I15:I17)</f>
        <v>1906.7049580128805</v>
      </c>
      <c r="N24" s="77"/>
      <c r="O24" s="77"/>
      <c r="P24" s="77"/>
      <c r="Q24" s="77"/>
    </row>
    <row r="25" spans="1:17" s="82" customFormat="1" x14ac:dyDescent="0.25">
      <c r="A25" s="93"/>
      <c r="B25" s="79"/>
      <c r="C25" s="80"/>
      <c r="D25" s="80"/>
      <c r="E25" s="80"/>
      <c r="F25" s="81"/>
      <c r="G25" s="80"/>
      <c r="H25" s="80"/>
      <c r="I25" s="80"/>
      <c r="J25" s="95" t="s">
        <v>31</v>
      </c>
      <c r="K25" s="82">
        <f>K23/K24</f>
        <v>8.7356616084091035E-4</v>
      </c>
      <c r="N25" s="77"/>
      <c r="O25" s="77"/>
      <c r="P25" s="77"/>
      <c r="Q25" s="77"/>
    </row>
    <row r="26" spans="1:17" s="82" customFormat="1" x14ac:dyDescent="0.25">
      <c r="A26" s="102" t="s">
        <v>37</v>
      </c>
      <c r="B26" s="103">
        <f>(B22-COUNT(C15:C17)+1)/B22</f>
        <v>0.45439163217449863</v>
      </c>
      <c r="C26" s="104"/>
      <c r="D26" s="104"/>
      <c r="E26" s="104"/>
      <c r="F26" s="81"/>
      <c r="G26" s="80"/>
      <c r="H26" s="80"/>
      <c r="I26" s="80"/>
      <c r="N26" s="77"/>
      <c r="O26" s="77"/>
      <c r="P26" s="77"/>
      <c r="Q26" s="77"/>
    </row>
  </sheetData>
  <mergeCells count="8">
    <mergeCell ref="A21:A23"/>
    <mergeCell ref="C21:E21"/>
    <mergeCell ref="C22:E22"/>
    <mergeCell ref="A1:M1"/>
    <mergeCell ref="A2:M2"/>
    <mergeCell ref="A3:M3"/>
    <mergeCell ref="C13:E13"/>
    <mergeCell ref="G13:M13"/>
  </mergeCells>
  <pageMargins left="0.5" right="0.25" top="1" bottom="0.25" header="0.5" footer="0.5"/>
  <pageSetup scale="6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055A-1474-486E-99FC-1D429C57F465}">
  <sheetPr>
    <pageSetUpPr fitToPage="1"/>
  </sheetPr>
  <dimension ref="A1:Q47"/>
  <sheetViews>
    <sheetView zoomScaleNormal="100" workbookViewId="0">
      <selection sqref="A1:O1"/>
    </sheetView>
  </sheetViews>
  <sheetFormatPr defaultRowHeight="13.2" x14ac:dyDescent="0.25"/>
  <cols>
    <col min="1" max="1" width="42.5546875" style="93" customWidth="1"/>
    <col min="2" max="2" width="28.6640625" style="79" customWidth="1"/>
    <col min="3" max="4" width="8.6640625" style="80" customWidth="1"/>
    <col min="5" max="5" width="8.5546875" style="80" customWidth="1"/>
    <col min="6" max="6" width="10.6640625" style="81" customWidth="1"/>
    <col min="7" max="9" width="21.6640625" style="80" customWidth="1"/>
    <col min="10" max="10" width="11.88671875" style="82" customWidth="1"/>
    <col min="11" max="11" width="10.88671875" style="82" customWidth="1"/>
    <col min="12" max="12" width="8.6640625" style="82" customWidth="1"/>
    <col min="13" max="13" width="16.109375" style="82" customWidth="1"/>
    <col min="14" max="14" width="10.6640625" style="77" customWidth="1"/>
    <col min="15" max="15" width="10.5546875" style="77" customWidth="1"/>
    <col min="16" max="18" width="8.6640625" style="77" customWidth="1"/>
    <col min="19" max="16384" width="8.88671875" style="77"/>
  </cols>
  <sheetData>
    <row r="1" spans="1:17" ht="17.399999999999999" x14ac:dyDescent="0.3">
      <c r="A1" s="140" t="s">
        <v>185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" ht="15.6" x14ac:dyDescent="0.3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ht="15.6" x14ac:dyDescent="0.3">
      <c r="A3" s="141" t="s">
        <v>120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ht="15.6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5.6" x14ac:dyDescent="0.3">
      <c r="A5" s="20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7" ht="13.8" x14ac:dyDescent="0.3">
      <c r="A6" s="29" t="s">
        <v>43</v>
      </c>
    </row>
    <row r="7" spans="1:17" ht="13.8" x14ac:dyDescent="0.3">
      <c r="A7" s="29" t="s">
        <v>44</v>
      </c>
    </row>
    <row r="8" spans="1:17" ht="13.8" x14ac:dyDescent="0.3">
      <c r="A8" s="30" t="s">
        <v>45</v>
      </c>
    </row>
    <row r="9" spans="1:17" ht="13.8" x14ac:dyDescent="0.3">
      <c r="A9" s="30" t="s">
        <v>46</v>
      </c>
      <c r="B9" s="83"/>
      <c r="C9" s="84"/>
      <c r="D9" s="84"/>
      <c r="E9" s="84"/>
      <c r="F9" s="85"/>
      <c r="G9" s="84"/>
      <c r="H9" s="84"/>
      <c r="I9" s="84"/>
    </row>
    <row r="10" spans="1:17" ht="13.8" x14ac:dyDescent="0.3">
      <c r="A10" s="30" t="s">
        <v>47</v>
      </c>
      <c r="B10" s="83"/>
      <c r="C10" s="84"/>
      <c r="D10" s="84"/>
      <c r="E10" s="84"/>
      <c r="F10" s="85"/>
      <c r="G10" s="84"/>
      <c r="H10" s="84"/>
      <c r="I10" s="84"/>
    </row>
    <row r="11" spans="1:17" ht="13.8" x14ac:dyDescent="0.3">
      <c r="A11" s="30" t="s">
        <v>48</v>
      </c>
      <c r="B11" s="83"/>
      <c r="C11" s="84"/>
      <c r="D11" s="84"/>
      <c r="E11" s="84"/>
      <c r="F11" s="85"/>
      <c r="G11" s="84"/>
      <c r="H11" s="84"/>
      <c r="I11" s="84"/>
    </row>
    <row r="12" spans="1:17" x14ac:dyDescent="0.25">
      <c r="A12" s="86"/>
      <c r="B12" s="83"/>
      <c r="C12" s="84"/>
      <c r="D12" s="84"/>
      <c r="E12" s="84"/>
      <c r="F12" s="85"/>
      <c r="G12" s="84"/>
      <c r="H12" s="84"/>
      <c r="I12" s="84"/>
    </row>
    <row r="13" spans="1:17" ht="22.2" customHeight="1" thickBot="1" x14ac:dyDescent="0.3">
      <c r="A13" s="87"/>
      <c r="C13" s="142" t="s">
        <v>21</v>
      </c>
      <c r="D13" s="142"/>
      <c r="E13" s="142"/>
      <c r="G13" s="142" t="s">
        <v>34</v>
      </c>
      <c r="H13" s="142"/>
      <c r="I13" s="142"/>
      <c r="J13" s="142"/>
      <c r="K13" s="142"/>
      <c r="L13" s="142"/>
      <c r="M13" s="142"/>
    </row>
    <row r="14" spans="1:17" ht="46.8" customHeight="1" thickBot="1" x14ac:dyDescent="0.3">
      <c r="A14" s="88" t="s">
        <v>121</v>
      </c>
      <c r="C14" s="89" t="s">
        <v>0</v>
      </c>
      <c r="D14" s="89" t="s">
        <v>1</v>
      </c>
      <c r="E14" s="89" t="s">
        <v>2</v>
      </c>
      <c r="F14" s="90"/>
      <c r="G14" s="91" t="s">
        <v>19</v>
      </c>
      <c r="H14" s="91" t="s">
        <v>18</v>
      </c>
      <c r="I14" s="91" t="s">
        <v>35</v>
      </c>
      <c r="J14" s="91" t="s">
        <v>23</v>
      </c>
      <c r="K14" s="91" t="s">
        <v>24</v>
      </c>
      <c r="L14" s="91" t="s">
        <v>25</v>
      </c>
      <c r="M14" s="91" t="s">
        <v>33</v>
      </c>
      <c r="O14" s="92"/>
      <c r="P14" s="92"/>
      <c r="Q14" s="92"/>
    </row>
    <row r="15" spans="1:17" ht="13.8" thickTop="1" x14ac:dyDescent="0.25">
      <c r="A15" s="93" t="s">
        <v>3</v>
      </c>
      <c r="C15" s="94">
        <v>0.86</v>
      </c>
      <c r="D15" s="94">
        <v>0.72</v>
      </c>
      <c r="E15" s="94">
        <v>1.02</v>
      </c>
      <c r="G15" s="80">
        <f>LN(C15)</f>
        <v>-0.15082288973458366</v>
      </c>
      <c r="H15" s="80">
        <f>(LN(E15)-LN(D15))/3.92</f>
        <v>8.8853748537810154E-2</v>
      </c>
      <c r="I15" s="80">
        <f>1/H15^2</f>
        <v>126.66262701112289</v>
      </c>
      <c r="J15" s="82">
        <f t="shared" ref="J15:J38" si="0">(G15^2)*I15</f>
        <v>2.8812636896902806</v>
      </c>
      <c r="K15" s="82">
        <f t="shared" ref="K15:K38" si="1">I15^2</f>
        <v>16043.421081358838</v>
      </c>
      <c r="L15" s="82">
        <f t="shared" ref="L15:L38" si="2">H15^2 + $K$46</f>
        <v>8.7145966706858903E-3</v>
      </c>
      <c r="M15" s="82">
        <f>1/L15</f>
        <v>114.75000367645174</v>
      </c>
    </row>
    <row r="16" spans="1:17" x14ac:dyDescent="0.25">
      <c r="A16" s="93" t="s">
        <v>4</v>
      </c>
      <c r="C16" s="94">
        <v>0.94</v>
      </c>
      <c r="D16" s="94">
        <v>0.78</v>
      </c>
      <c r="E16" s="94">
        <v>1.1299999999999999</v>
      </c>
      <c r="G16" s="80">
        <f t="shared" ref="G16:G38" si="3">LN(C16)</f>
        <v>-6.1875403718087529E-2</v>
      </c>
      <c r="H16" s="80">
        <f t="shared" ref="H16:H38" si="4">(LN(E16)-LN(D16))/3.92</f>
        <v>9.4560967352742026E-2</v>
      </c>
      <c r="I16" s="80">
        <f t="shared" ref="I16:I38" si="5">1/H16^2</f>
        <v>111.83459962109895</v>
      </c>
      <c r="J16" s="82">
        <f t="shared" si="0"/>
        <v>0.42816609935249561</v>
      </c>
      <c r="K16" s="82">
        <f t="shared" si="1"/>
        <v>12506.977672411504</v>
      </c>
      <c r="L16" s="82">
        <f t="shared" si="2"/>
        <v>9.7613845881518342E-3</v>
      </c>
      <c r="M16" s="82">
        <f t="shared" ref="M16:M38" si="6">1/L16</f>
        <v>102.44448325637934</v>
      </c>
    </row>
    <row r="17" spans="1:13" x14ac:dyDescent="0.25">
      <c r="A17" s="93" t="s">
        <v>5</v>
      </c>
      <c r="C17" s="94">
        <v>1.01</v>
      </c>
      <c r="D17" s="94">
        <v>0.94</v>
      </c>
      <c r="E17" s="94">
        <v>1.08</v>
      </c>
      <c r="G17" s="80">
        <f t="shared" si="3"/>
        <v>9.950330853168092E-3</v>
      </c>
      <c r="H17" s="80">
        <f t="shared" si="4"/>
        <v>3.5417460421993861E-2</v>
      </c>
      <c r="I17" s="80">
        <f t="shared" si="5"/>
        <v>797.19610012694648</v>
      </c>
      <c r="J17" s="82">
        <f t="shared" si="0"/>
        <v>7.8929655711702962E-2</v>
      </c>
      <c r="K17" s="82">
        <f t="shared" si="1"/>
        <v>635521.62205761252</v>
      </c>
      <c r="L17" s="82">
        <f t="shared" si="2"/>
        <v>2.0740045442089925E-3</v>
      </c>
      <c r="M17" s="82">
        <f t="shared" si="6"/>
        <v>482.15902071776384</v>
      </c>
    </row>
    <row r="18" spans="1:13" x14ac:dyDescent="0.25">
      <c r="A18" s="93" t="s">
        <v>6</v>
      </c>
      <c r="C18" s="94">
        <v>1.03</v>
      </c>
      <c r="D18" s="94">
        <v>1.01</v>
      </c>
      <c r="E18" s="94">
        <v>1.06</v>
      </c>
      <c r="G18" s="80">
        <f t="shared" si="3"/>
        <v>2.9558802241544429E-2</v>
      </c>
      <c r="H18" s="80">
        <f t="shared" si="4"/>
        <v>1.2326167671124422E-2</v>
      </c>
      <c r="I18" s="80">
        <f t="shared" si="5"/>
        <v>6581.7875198650772</v>
      </c>
      <c r="J18" s="82">
        <f t="shared" si="0"/>
        <v>5.7506577547457516</v>
      </c>
      <c r="K18" s="82">
        <f t="shared" si="1"/>
        <v>43319926.956651688</v>
      </c>
      <c r="L18" s="82">
        <f t="shared" si="2"/>
        <v>9.7154245092216358E-4</v>
      </c>
      <c r="M18" s="82">
        <f t="shared" si="6"/>
        <v>1029.291102052026</v>
      </c>
    </row>
    <row r="19" spans="1:13" x14ac:dyDescent="0.25">
      <c r="A19" s="93" t="s">
        <v>7</v>
      </c>
      <c r="C19" s="94">
        <v>1.06</v>
      </c>
      <c r="D19" s="94">
        <v>1.01</v>
      </c>
      <c r="E19" s="94">
        <v>1.1100000000000001</v>
      </c>
      <c r="G19" s="80">
        <f t="shared" si="3"/>
        <v>5.8268908123975824E-2</v>
      </c>
      <c r="H19" s="80">
        <f t="shared" si="4"/>
        <v>2.4084103181396622E-2</v>
      </c>
      <c r="I19" s="80">
        <f t="shared" si="5"/>
        <v>1724.007066853366</v>
      </c>
      <c r="J19" s="82">
        <f t="shared" si="0"/>
        <v>5.853461981272134</v>
      </c>
      <c r="K19" s="82">
        <f t="shared" si="1"/>
        <v>2972200.3665603464</v>
      </c>
      <c r="L19" s="82">
        <f t="shared" si="2"/>
        <v>1.3996520675176498E-3</v>
      </c>
      <c r="M19" s="82">
        <f t="shared" si="6"/>
        <v>714.46327498629569</v>
      </c>
    </row>
    <row r="20" spans="1:13" x14ac:dyDescent="0.25">
      <c r="A20" s="93" t="s">
        <v>8</v>
      </c>
      <c r="C20" s="94">
        <v>1.07</v>
      </c>
      <c r="D20" s="94">
        <v>1.06</v>
      </c>
      <c r="E20" s="94">
        <v>1.0900000000000001</v>
      </c>
      <c r="G20" s="80">
        <f t="shared" si="3"/>
        <v>6.7658648473814864E-2</v>
      </c>
      <c r="H20" s="80">
        <f t="shared" si="4"/>
        <v>7.1195888053766808E-3</v>
      </c>
      <c r="I20" s="80">
        <f t="shared" si="5"/>
        <v>19728.323327908874</v>
      </c>
      <c r="J20" s="82">
        <f t="shared" si="0"/>
        <v>90.310201943858985</v>
      </c>
      <c r="K20" s="82">
        <f t="shared" si="1"/>
        <v>389206741.33051348</v>
      </c>
      <c r="L20" s="82">
        <f t="shared" si="2"/>
        <v>8.7029658622313568E-4</v>
      </c>
      <c r="M20" s="82">
        <f t="shared" si="6"/>
        <v>1149.0335775528476</v>
      </c>
    </row>
    <row r="21" spans="1:13" x14ac:dyDescent="0.25">
      <c r="A21" s="93" t="s">
        <v>9</v>
      </c>
      <c r="C21" s="94">
        <v>1.08</v>
      </c>
      <c r="D21" s="94">
        <v>0.97</v>
      </c>
      <c r="E21" s="94">
        <v>1.21</v>
      </c>
      <c r="G21" s="80">
        <f t="shared" si="3"/>
        <v>7.6961041136128394E-2</v>
      </c>
      <c r="H21" s="80">
        <f t="shared" si="4"/>
        <v>5.6397848748305682E-2</v>
      </c>
      <c r="I21" s="80">
        <f t="shared" si="5"/>
        <v>314.39448779170681</v>
      </c>
      <c r="J21" s="82">
        <f t="shared" si="0"/>
        <v>1.8621591336868193</v>
      </c>
      <c r="K21" s="82">
        <f t="shared" si="1"/>
        <v>98843.893953809675</v>
      </c>
      <c r="L21" s="82">
        <f t="shared" si="2"/>
        <v>4.0003253849022558E-3</v>
      </c>
      <c r="M21" s="82">
        <f t="shared" si="6"/>
        <v>249.97966509777655</v>
      </c>
    </row>
    <row r="22" spans="1:13" x14ac:dyDescent="0.25">
      <c r="A22" s="93" t="s">
        <v>10</v>
      </c>
      <c r="C22" s="94">
        <v>1.08</v>
      </c>
      <c r="D22" s="94">
        <v>1.08</v>
      </c>
      <c r="E22" s="94">
        <v>1.0900000000000001</v>
      </c>
      <c r="G22" s="80">
        <f t="shared" si="3"/>
        <v>7.6961041136128394E-2</v>
      </c>
      <c r="H22" s="80">
        <f t="shared" si="4"/>
        <v>2.3511875267663313E-3</v>
      </c>
      <c r="I22" s="80">
        <f t="shared" si="5"/>
        <v>180894.54132789405</v>
      </c>
      <c r="J22" s="82">
        <f t="shared" si="0"/>
        <v>1071.4387034387164</v>
      </c>
      <c r="K22" s="82">
        <f t="shared" si="1"/>
        <v>32722835082.229172</v>
      </c>
      <c r="L22" s="82">
        <f t="shared" si="2"/>
        <v>8.2513612425151237E-4</v>
      </c>
      <c r="M22" s="82">
        <f t="shared" si="6"/>
        <v>1211.9212462151115</v>
      </c>
    </row>
    <row r="23" spans="1:13" x14ac:dyDescent="0.25">
      <c r="A23" s="87" t="s">
        <v>15</v>
      </c>
      <c r="C23" s="94">
        <v>1.1200000000000001</v>
      </c>
      <c r="D23" s="94">
        <v>1.1000000000000001</v>
      </c>
      <c r="E23" s="94">
        <v>1.1299999999999999</v>
      </c>
      <c r="G23" s="80">
        <f t="shared" si="3"/>
        <v>0.11332868530700327</v>
      </c>
      <c r="H23" s="80">
        <f t="shared" si="4"/>
        <v>6.8641461530418819E-3</v>
      </c>
      <c r="I23" s="80">
        <f t="shared" si="5"/>
        <v>21223.986264756688</v>
      </c>
      <c r="J23" s="82">
        <f t="shared" si="0"/>
        <v>272.58795233919489</v>
      </c>
      <c r="K23" s="82">
        <f t="shared" si="1"/>
        <v>450457592.96658057</v>
      </c>
      <c r="L23" s="82">
        <f t="shared" si="2"/>
        <v>8.6672454387581041E-4</v>
      </c>
      <c r="M23" s="82">
        <f t="shared" si="6"/>
        <v>1153.7691035357204</v>
      </c>
    </row>
    <row r="24" spans="1:13" x14ac:dyDescent="0.25">
      <c r="A24" s="93" t="s">
        <v>11</v>
      </c>
      <c r="C24" s="94">
        <v>1.1200000000000001</v>
      </c>
      <c r="D24" s="94">
        <v>1.05</v>
      </c>
      <c r="E24" s="94">
        <v>1.2</v>
      </c>
      <c r="G24" s="80">
        <f t="shared" si="3"/>
        <v>0.11332868530700327</v>
      </c>
      <c r="H24" s="80">
        <f t="shared" si="4"/>
        <v>3.4064130771561875E-2</v>
      </c>
      <c r="I24" s="80">
        <f t="shared" si="5"/>
        <v>861.79779250462809</v>
      </c>
      <c r="J24" s="82">
        <f t="shared" si="0"/>
        <v>11.068405937453994</v>
      </c>
      <c r="K24" s="82">
        <f t="shared" si="1"/>
        <v>742695.43516584998</v>
      </c>
      <c r="L24" s="82">
        <f t="shared" si="2"/>
        <v>1.9799730466875595E-3</v>
      </c>
      <c r="M24" s="82">
        <f t="shared" si="6"/>
        <v>505.05738028756122</v>
      </c>
    </row>
    <row r="25" spans="1:13" x14ac:dyDescent="0.25">
      <c r="A25" s="93" t="s">
        <v>12</v>
      </c>
      <c r="C25" s="94">
        <v>1.1299999999999999</v>
      </c>
      <c r="D25" s="94">
        <v>1.05</v>
      </c>
      <c r="E25" s="94">
        <v>1.22</v>
      </c>
      <c r="G25" s="80">
        <f t="shared" si="3"/>
        <v>0.12221763272424911</v>
      </c>
      <c r="H25" s="80">
        <f t="shared" si="4"/>
        <v>3.8280789432584984E-2</v>
      </c>
      <c r="I25" s="80">
        <f t="shared" si="5"/>
        <v>682.39876067466412</v>
      </c>
      <c r="J25" s="82">
        <f t="shared" si="0"/>
        <v>10.193092476538022</v>
      </c>
      <c r="K25" s="82">
        <f t="shared" si="1"/>
        <v>465668.06857031753</v>
      </c>
      <c r="L25" s="82">
        <f t="shared" si="2"/>
        <v>2.2850268810474012E-3</v>
      </c>
      <c r="M25" s="82">
        <f t="shared" si="6"/>
        <v>437.63161313079354</v>
      </c>
    </row>
    <row r="26" spans="1:13" x14ac:dyDescent="0.25">
      <c r="A26" s="93" t="s">
        <v>13</v>
      </c>
      <c r="C26" s="94">
        <v>1.1399999999999999</v>
      </c>
      <c r="D26" s="94">
        <v>1.07</v>
      </c>
      <c r="E26" s="94">
        <v>1.22</v>
      </c>
      <c r="G26" s="80">
        <f t="shared" si="3"/>
        <v>0.131028262406404</v>
      </c>
      <c r="H26" s="80">
        <f t="shared" si="4"/>
        <v>3.3467400579426099E-2</v>
      </c>
      <c r="I26" s="80">
        <f t="shared" si="5"/>
        <v>892.80381254165798</v>
      </c>
      <c r="J26" s="82">
        <f t="shared" si="0"/>
        <v>15.328017929624135</v>
      </c>
      <c r="K26" s="82">
        <f t="shared" si="1"/>
        <v>797098.64768891991</v>
      </c>
      <c r="L26" s="82">
        <f t="shared" si="2"/>
        <v>1.9396749430092611E-3</v>
      </c>
      <c r="M26" s="82">
        <f t="shared" si="6"/>
        <v>515.55030063365905</v>
      </c>
    </row>
    <row r="27" spans="1:13" x14ac:dyDescent="0.25">
      <c r="A27" s="87" t="s">
        <v>16</v>
      </c>
      <c r="C27" s="94">
        <v>1.1499999999999999</v>
      </c>
      <c r="D27" s="94">
        <v>1.1200000000000001</v>
      </c>
      <c r="E27" s="94">
        <v>1.17</v>
      </c>
      <c r="G27" s="80">
        <f t="shared" si="3"/>
        <v>0.13976194237515863</v>
      </c>
      <c r="H27" s="80">
        <f t="shared" si="4"/>
        <v>1.1141597832311589E-2</v>
      </c>
      <c r="I27" s="80">
        <f t="shared" si="5"/>
        <v>8055.7326352110495</v>
      </c>
      <c r="J27" s="82">
        <f t="shared" si="0"/>
        <v>157.35585217834807</v>
      </c>
      <c r="K27" s="82">
        <f t="shared" si="1"/>
        <v>64894828.290004358</v>
      </c>
      <c r="L27" s="82">
        <f t="shared" si="2"/>
        <v>9.4374324372246108E-4</v>
      </c>
      <c r="M27" s="82">
        <f t="shared" si="6"/>
        <v>1059.6102347240571</v>
      </c>
    </row>
    <row r="28" spans="1:13" x14ac:dyDescent="0.25">
      <c r="A28" s="87" t="s">
        <v>17</v>
      </c>
      <c r="C28" s="94">
        <v>1.18</v>
      </c>
      <c r="D28" s="94">
        <v>1.1599999999999999</v>
      </c>
      <c r="E28" s="94">
        <v>1.2</v>
      </c>
      <c r="G28" s="80">
        <f t="shared" si="3"/>
        <v>0.16551443847757333</v>
      </c>
      <c r="H28" s="80">
        <f t="shared" si="4"/>
        <v>8.648355019306473E-3</v>
      </c>
      <c r="I28" s="80">
        <f t="shared" si="5"/>
        <v>13370.048459749847</v>
      </c>
      <c r="J28" s="82">
        <f t="shared" si="0"/>
        <v>366.27286989285454</v>
      </c>
      <c r="K28" s="82">
        <f t="shared" si="1"/>
        <v>178758195.81605926</v>
      </c>
      <c r="L28" s="82">
        <f t="shared" si="2"/>
        <v>8.9440208600545426E-4</v>
      </c>
      <c r="M28" s="82">
        <f t="shared" si="6"/>
        <v>1118.0653708738128</v>
      </c>
    </row>
    <row r="29" spans="1:13" x14ac:dyDescent="0.25">
      <c r="A29" s="93" t="s">
        <v>14</v>
      </c>
      <c r="C29" s="94">
        <v>1.26</v>
      </c>
      <c r="D29" s="94">
        <v>1.19</v>
      </c>
      <c r="E29" s="94">
        <v>1.34</v>
      </c>
      <c r="G29" s="80">
        <f t="shared" si="3"/>
        <v>0.23111172096338664</v>
      </c>
      <c r="H29" s="80">
        <f t="shared" si="4"/>
        <v>3.0284772152903587E-2</v>
      </c>
      <c r="I29" s="80">
        <f t="shared" si="5"/>
        <v>1090.3134732517594</v>
      </c>
      <c r="J29" s="82">
        <f t="shared" si="0"/>
        <v>58.236507477705871</v>
      </c>
      <c r="K29" s="82">
        <f t="shared" si="1"/>
        <v>1188783.4699543151</v>
      </c>
      <c r="L29" s="82">
        <f t="shared" si="2"/>
        <v>1.7367754658187753E-3</v>
      </c>
      <c r="M29" s="82">
        <f t="shared" si="6"/>
        <v>575.77966736682674</v>
      </c>
    </row>
    <row r="30" spans="1:13" x14ac:dyDescent="0.25">
      <c r="A30" s="93" t="s">
        <v>109</v>
      </c>
      <c r="C30" s="94">
        <v>1.04</v>
      </c>
      <c r="D30" s="94">
        <v>1.03</v>
      </c>
      <c r="E30" s="94">
        <v>1.05</v>
      </c>
      <c r="G30" s="80">
        <f t="shared" si="3"/>
        <v>3.9220713153281329E-2</v>
      </c>
      <c r="H30" s="80">
        <f t="shared" si="4"/>
        <v>4.9059596754815358E-3</v>
      </c>
      <c r="I30" s="80">
        <f t="shared" si="5"/>
        <v>41548.184509653634</v>
      </c>
      <c r="J30" s="82">
        <f t="shared" si="0"/>
        <v>63.912090633409683</v>
      </c>
      <c r="K30" s="82">
        <f t="shared" si="1"/>
        <v>1726251636.0482223</v>
      </c>
      <c r="L30" s="82">
        <f t="shared" si="2"/>
        <v>8.4367648180294164E-4</v>
      </c>
      <c r="M30" s="82">
        <f t="shared" si="6"/>
        <v>1185.2884625431232</v>
      </c>
    </row>
    <row r="31" spans="1:13" x14ac:dyDescent="0.25">
      <c r="A31" s="93" t="s">
        <v>110</v>
      </c>
      <c r="C31" s="94">
        <v>1.06</v>
      </c>
      <c r="D31" s="94">
        <v>0.97</v>
      </c>
      <c r="E31" s="94">
        <v>1.1599999999999999</v>
      </c>
      <c r="G31" s="80">
        <f t="shared" si="3"/>
        <v>5.8268908123975824E-2</v>
      </c>
      <c r="H31" s="80">
        <f t="shared" si="4"/>
        <v>4.5632452194638212E-2</v>
      </c>
      <c r="I31" s="80">
        <f t="shared" si="5"/>
        <v>480.23342572520784</v>
      </c>
      <c r="J31" s="82">
        <f t="shared" si="0"/>
        <v>1.63052005624851</v>
      </c>
      <c r="K31" s="82">
        <f t="shared" si="1"/>
        <v>230624.14318376873</v>
      </c>
      <c r="L31" s="82">
        <f t="shared" si="2"/>
        <v>2.9019287347614325E-3</v>
      </c>
      <c r="M31" s="82">
        <f t="shared" si="6"/>
        <v>344.59840037464255</v>
      </c>
    </row>
    <row r="32" spans="1:13" x14ac:dyDescent="0.25">
      <c r="A32" s="93" t="s">
        <v>111</v>
      </c>
      <c r="C32" s="94">
        <v>1.1299999999999999</v>
      </c>
      <c r="D32" s="94">
        <v>1.1100000000000001</v>
      </c>
      <c r="E32" s="94">
        <v>1.1499999999999999</v>
      </c>
      <c r="G32" s="80">
        <f t="shared" si="3"/>
        <v>0.12221763272424911</v>
      </c>
      <c r="H32" s="80">
        <f t="shared" si="4"/>
        <v>9.0311038395193294E-3</v>
      </c>
      <c r="I32" s="80">
        <f t="shared" si="5"/>
        <v>12260.78645309304</v>
      </c>
      <c r="J32" s="82">
        <f t="shared" si="0"/>
        <v>183.14120328692152</v>
      </c>
      <c r="K32" s="82">
        <f t="shared" si="1"/>
        <v>150326884.4483498</v>
      </c>
      <c r="L32" s="82">
        <f t="shared" si="2"/>
        <v>9.0116887802567153E-4</v>
      </c>
      <c r="M32" s="82">
        <f t="shared" si="6"/>
        <v>1109.6699235673261</v>
      </c>
    </row>
    <row r="33" spans="1:17" x14ac:dyDescent="0.25">
      <c r="A33" s="93" t="s">
        <v>112</v>
      </c>
      <c r="C33" s="94">
        <v>1.1299999999999999</v>
      </c>
      <c r="D33" s="94">
        <v>1</v>
      </c>
      <c r="E33" s="94">
        <v>1.27</v>
      </c>
      <c r="G33" s="80">
        <f t="shared" si="3"/>
        <v>0.12221763272424911</v>
      </c>
      <c r="H33" s="80">
        <f t="shared" si="4"/>
        <v>6.0973699099617328E-2</v>
      </c>
      <c r="I33" s="80">
        <f t="shared" si="5"/>
        <v>268.97685638975753</v>
      </c>
      <c r="J33" s="82">
        <f t="shared" si="0"/>
        <v>4.0177475828336133</v>
      </c>
      <c r="K33" s="82">
        <f t="shared" si="1"/>
        <v>72348.549273316239</v>
      </c>
      <c r="L33" s="82">
        <f t="shared" si="2"/>
        <v>4.5374000233561656E-3</v>
      </c>
      <c r="M33" s="82">
        <f t="shared" si="6"/>
        <v>220.39053088828894</v>
      </c>
    </row>
    <row r="34" spans="1:17" x14ac:dyDescent="0.25">
      <c r="A34" s="93" t="s">
        <v>113</v>
      </c>
      <c r="C34" s="94">
        <v>1.1399999999999999</v>
      </c>
      <c r="D34" s="94">
        <v>1.03</v>
      </c>
      <c r="E34" s="94">
        <v>1.27</v>
      </c>
      <c r="G34" s="80">
        <f t="shared" si="3"/>
        <v>0.131028262406404</v>
      </c>
      <c r="H34" s="80">
        <f t="shared" si="4"/>
        <v>5.3433188323713139E-2</v>
      </c>
      <c r="I34" s="80">
        <f t="shared" si="5"/>
        <v>350.2497403049843</v>
      </c>
      <c r="J34" s="82">
        <f t="shared" si="0"/>
        <v>6.013229585072474</v>
      </c>
      <c r="K34" s="82">
        <f t="shared" si="1"/>
        <v>122674.88058370895</v>
      </c>
      <c r="L34" s="82">
        <f t="shared" si="2"/>
        <v>3.674713655902885E-3</v>
      </c>
      <c r="M34" s="82">
        <f t="shared" si="6"/>
        <v>272.13004702928282</v>
      </c>
    </row>
    <row r="35" spans="1:17" x14ac:dyDescent="0.25">
      <c r="A35" s="93" t="s">
        <v>114</v>
      </c>
      <c r="C35" s="94">
        <v>1.1499999999999999</v>
      </c>
      <c r="D35" s="94">
        <v>0.98</v>
      </c>
      <c r="E35" s="94">
        <v>1.35</v>
      </c>
      <c r="G35" s="80">
        <f t="shared" si="3"/>
        <v>0.13976194237515863</v>
      </c>
      <c r="H35" s="80">
        <f t="shared" si="4"/>
        <v>8.1711045859147347E-2</v>
      </c>
      <c r="I35" s="80">
        <f t="shared" si="5"/>
        <v>149.7747010600479</v>
      </c>
      <c r="J35" s="82">
        <f t="shared" si="0"/>
        <v>2.9256092260370461</v>
      </c>
      <c r="K35" s="82">
        <f t="shared" si="1"/>
        <v>22432.461077626715</v>
      </c>
      <c r="L35" s="82">
        <f t="shared" si="2"/>
        <v>7.4963030568611722E-3</v>
      </c>
      <c r="M35" s="82">
        <f t="shared" si="6"/>
        <v>133.3990891796625</v>
      </c>
    </row>
    <row r="36" spans="1:17" x14ac:dyDescent="0.25">
      <c r="A36" s="93" t="s">
        <v>117</v>
      </c>
      <c r="C36" s="94">
        <v>0.92</v>
      </c>
      <c r="D36" s="94">
        <v>0.72</v>
      </c>
      <c r="E36" s="94">
        <v>1.17</v>
      </c>
      <c r="G36" s="80">
        <f t="shared" si="3"/>
        <v>-8.3381608939051013E-2</v>
      </c>
      <c r="H36" s="80">
        <f t="shared" si="4"/>
        <v>0.12385403463818898</v>
      </c>
      <c r="I36" s="80">
        <f t="shared" si="5"/>
        <v>65.189805120910691</v>
      </c>
      <c r="J36" s="82">
        <f t="shared" si="0"/>
        <v>0.45323164482152678</v>
      </c>
      <c r="K36" s="82">
        <f t="shared" si="1"/>
        <v>4249.7106917023139</v>
      </c>
      <c r="L36" s="82">
        <f t="shared" si="2"/>
        <v>1.6159429937623204E-2</v>
      </c>
      <c r="M36" s="82">
        <f t="shared" si="6"/>
        <v>61.883371125100723</v>
      </c>
    </row>
    <row r="37" spans="1:17" x14ac:dyDescent="0.25">
      <c r="A37" s="93" t="s">
        <v>118</v>
      </c>
      <c r="C37" s="94">
        <v>1.0900000000000001</v>
      </c>
      <c r="D37" s="94">
        <v>1.0900000000000001</v>
      </c>
      <c r="E37" s="94">
        <v>1.1000000000000001</v>
      </c>
      <c r="G37" s="80">
        <f t="shared" si="3"/>
        <v>8.6177696241052412E-2</v>
      </c>
      <c r="H37" s="80">
        <f t="shared" si="4"/>
        <v>2.3297151947123782E-3</v>
      </c>
      <c r="I37" s="80">
        <f t="shared" si="5"/>
        <v>184244.4165279936</v>
      </c>
      <c r="J37" s="82">
        <f t="shared" si="0"/>
        <v>1368.3087232576072</v>
      </c>
      <c r="K37" s="82">
        <f t="shared" si="1"/>
        <v>33946005021.740799</v>
      </c>
      <c r="L37" s="82">
        <f t="shared" si="2"/>
        <v>8.2503561435396452E-4</v>
      </c>
      <c r="M37" s="82">
        <f t="shared" si="6"/>
        <v>1212.0688884237313</v>
      </c>
    </row>
    <row r="38" spans="1:17" ht="13.8" thickBot="1" x14ac:dyDescent="0.3">
      <c r="A38" s="111" t="s">
        <v>119</v>
      </c>
      <c r="B38" s="83"/>
      <c r="C38" s="112">
        <v>1.1399999999999999</v>
      </c>
      <c r="D38" s="112">
        <v>1.07</v>
      </c>
      <c r="E38" s="112">
        <v>1.22</v>
      </c>
      <c r="F38" s="85"/>
      <c r="G38" s="84">
        <f t="shared" si="3"/>
        <v>0.131028262406404</v>
      </c>
      <c r="H38" s="84">
        <f t="shared" si="4"/>
        <v>3.3467400579426099E-2</v>
      </c>
      <c r="I38" s="84">
        <f t="shared" si="5"/>
        <v>892.80381254165798</v>
      </c>
      <c r="J38" s="82">
        <f t="shared" si="0"/>
        <v>15.328017929624135</v>
      </c>
      <c r="K38" s="82">
        <f t="shared" si="1"/>
        <v>797098.64768891991</v>
      </c>
      <c r="L38" s="82">
        <f t="shared" si="2"/>
        <v>1.9396749430092611E-3</v>
      </c>
      <c r="M38" s="82">
        <f t="shared" si="6"/>
        <v>515.55030063365905</v>
      </c>
    </row>
    <row r="39" spans="1:17" s="96" customFormat="1" ht="13.8" thickBot="1" x14ac:dyDescent="0.3">
      <c r="A39" s="105" t="s">
        <v>20</v>
      </c>
      <c r="B39" s="106"/>
      <c r="C39" s="107">
        <f>EXP(G39)</f>
        <v>1.086256238280177</v>
      </c>
      <c r="D39" s="107">
        <f>EXP(G39+H39*-1.96)</f>
        <v>1.0832395506785439</v>
      </c>
      <c r="E39" s="107">
        <f>EXP(G39+H39*1.96)</f>
        <v>1.0892813269820838</v>
      </c>
      <c r="F39" s="108"/>
      <c r="G39" s="109">
        <f>SUMPRODUCT(G15:G38,I15:I38)/SUM(I15:I38)</f>
        <v>8.2737140531654776E-2</v>
      </c>
      <c r="H39" s="109">
        <f>1/SQRT(SUM(I15:I38))</f>
        <v>1.4188802090904019E-3</v>
      </c>
      <c r="I39" s="110"/>
      <c r="J39" s="95"/>
      <c r="K39" s="95"/>
      <c r="L39" s="95"/>
      <c r="M39" s="95"/>
    </row>
    <row r="40" spans="1:17" s="96" customFormat="1" ht="13.8" thickBot="1" x14ac:dyDescent="0.3">
      <c r="A40" s="105" t="s">
        <v>32</v>
      </c>
      <c r="B40" s="106"/>
      <c r="C40" s="107">
        <f>EXP(G40)</f>
        <v>1.0995808329799579</v>
      </c>
      <c r="D40" s="107">
        <f>EXP(G40-1.96*H40)</f>
        <v>1.0823915312900436</v>
      </c>
      <c r="E40" s="107">
        <f>EXP(G40+1.96*H40)</f>
        <v>1.1170431154573648</v>
      </c>
      <c r="F40" s="108"/>
      <c r="G40" s="109">
        <f>SUMPRODUCT(G15:G38,M15:M38)/SUM(M15:M38)</f>
        <v>9.4929046254849075E-2</v>
      </c>
      <c r="H40" s="109">
        <f>1/SQRT(SUM(M15:M38))</f>
        <v>8.0388124604241461E-3</v>
      </c>
      <c r="I40" s="110"/>
      <c r="J40" s="95"/>
      <c r="K40" s="95"/>
      <c r="L40" s="95"/>
      <c r="M40" s="95"/>
    </row>
    <row r="41" spans="1:17" x14ac:dyDescent="0.25">
      <c r="C41" s="94"/>
      <c r="D41" s="94"/>
      <c r="E41" s="94"/>
      <c r="J41" s="92"/>
      <c r="K41" s="91" t="s">
        <v>27</v>
      </c>
    </row>
    <row r="42" spans="1:17" s="82" customFormat="1" ht="25.2" customHeight="1" x14ac:dyDescent="0.25">
      <c r="A42" s="136" t="s">
        <v>39</v>
      </c>
      <c r="B42" s="97" t="s">
        <v>22</v>
      </c>
      <c r="C42" s="138" t="s">
        <v>38</v>
      </c>
      <c r="D42" s="138"/>
      <c r="E42" s="138"/>
      <c r="F42" s="81"/>
      <c r="G42" s="80"/>
      <c r="H42" s="80"/>
      <c r="I42" s="80"/>
      <c r="J42" s="95" t="s">
        <v>26</v>
      </c>
      <c r="K42" s="82">
        <f>SUM(J15:J38)-SUMPRODUCT(G15:G38,I15:I38)^2/SUM(I15:I38)</f>
        <v>315.13677012737662</v>
      </c>
      <c r="N42" s="77"/>
      <c r="O42" s="77"/>
      <c r="P42" s="77"/>
      <c r="Q42" s="77"/>
    </row>
    <row r="43" spans="1:17" s="82" customFormat="1" x14ac:dyDescent="0.25">
      <c r="A43" s="137"/>
      <c r="B43" s="98">
        <f>SUMPRODUCT(G15:G38-$G$39,G15:G38-$G$39,I15:I38)</f>
        <v>315.13677012737605</v>
      </c>
      <c r="C43" s="139">
        <f>_xlfn.CHISQ.DIST.RT(B43,COUNT(C15:C38)-1)</f>
        <v>3.9496744623232282E-53</v>
      </c>
      <c r="D43" s="139"/>
      <c r="E43" s="139"/>
      <c r="F43" s="81"/>
      <c r="G43" s="80"/>
      <c r="H43" s="80"/>
      <c r="I43" s="80"/>
      <c r="J43" s="95" t="s">
        <v>28</v>
      </c>
      <c r="K43" s="94">
        <f>COUNT(C15:C38)-1</f>
        <v>23</v>
      </c>
      <c r="N43" s="77"/>
      <c r="O43" s="77"/>
      <c r="P43" s="77"/>
      <c r="Q43" s="77"/>
    </row>
    <row r="44" spans="1:17" s="82" customFormat="1" x14ac:dyDescent="0.25">
      <c r="A44" s="137"/>
      <c r="B44" s="98"/>
      <c r="C44" s="99"/>
      <c r="D44" s="99"/>
      <c r="E44" s="99"/>
      <c r="F44" s="81"/>
      <c r="G44" s="80"/>
      <c r="H44" s="80"/>
      <c r="I44" s="80"/>
      <c r="J44" s="95" t="s">
        <v>29</v>
      </c>
      <c r="K44" s="94">
        <f>MAX(K42-K43,0)</f>
        <v>292.13677012737662</v>
      </c>
      <c r="N44" s="77"/>
      <c r="O44" s="77"/>
      <c r="P44" s="77"/>
      <c r="Q44" s="77"/>
    </row>
    <row r="45" spans="1:17" s="82" customFormat="1" x14ac:dyDescent="0.25">
      <c r="A45" s="100"/>
      <c r="B45" s="101"/>
      <c r="C45" s="84"/>
      <c r="D45" s="84"/>
      <c r="E45" s="84"/>
      <c r="F45" s="81"/>
      <c r="G45" s="80"/>
      <c r="H45" s="80"/>
      <c r="I45" s="80"/>
      <c r="J45" s="95" t="s">
        <v>30</v>
      </c>
      <c r="K45" s="82">
        <f>SUM(I15:I38)-SUM(K15:K38)/SUM(I15:I38)</f>
        <v>356434.7289773107</v>
      </c>
      <c r="N45" s="77"/>
      <c r="O45" s="77"/>
      <c r="P45" s="77"/>
      <c r="Q45" s="77"/>
    </row>
    <row r="46" spans="1:17" s="82" customFormat="1" x14ac:dyDescent="0.25">
      <c r="A46" s="93"/>
      <c r="B46" s="79"/>
      <c r="C46" s="80"/>
      <c r="D46" s="80"/>
      <c r="E46" s="80"/>
      <c r="F46" s="81"/>
      <c r="G46" s="80"/>
      <c r="H46" s="80"/>
      <c r="I46" s="80"/>
      <c r="J46" s="95" t="s">
        <v>31</v>
      </c>
      <c r="K46" s="82">
        <f>K44/K45</f>
        <v>8.1960804146549075E-4</v>
      </c>
      <c r="N46" s="77"/>
      <c r="O46" s="77"/>
      <c r="P46" s="77"/>
      <c r="Q46" s="77"/>
    </row>
    <row r="47" spans="1:17" s="82" customFormat="1" x14ac:dyDescent="0.25">
      <c r="A47" s="102" t="s">
        <v>37</v>
      </c>
      <c r="B47" s="103">
        <f>(B43-COUNT(C15:C38)+1)/B43</f>
        <v>0.92701581605122263</v>
      </c>
      <c r="C47" s="104"/>
      <c r="D47" s="104"/>
      <c r="E47" s="104"/>
      <c r="F47" s="81"/>
      <c r="G47" s="80"/>
      <c r="H47" s="80"/>
      <c r="I47" s="80"/>
      <c r="N47" s="77"/>
      <c r="O47" s="77"/>
      <c r="P47" s="77"/>
      <c r="Q47" s="77"/>
    </row>
  </sheetData>
  <mergeCells count="8">
    <mergeCell ref="A42:A44"/>
    <mergeCell ref="C42:E42"/>
    <mergeCell ref="C43:E43"/>
    <mergeCell ref="A1:M1"/>
    <mergeCell ref="A2:M2"/>
    <mergeCell ref="A3:M3"/>
    <mergeCell ref="C13:E13"/>
    <mergeCell ref="G13:M13"/>
  </mergeCells>
  <pageMargins left="0.5" right="0.25" top="1" bottom="0.25" header="0.5" footer="0.5"/>
  <pageSetup scale="6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362C-F9F5-487A-9CCC-FD344427BBEB}">
  <dimension ref="A15:J15"/>
  <sheetViews>
    <sheetView workbookViewId="0">
      <selection sqref="A1:O1"/>
    </sheetView>
  </sheetViews>
  <sheetFormatPr defaultRowHeight="13.2" x14ac:dyDescent="0.25"/>
  <sheetData>
    <row r="15" spans="1:10" ht="33" x14ac:dyDescent="0.6">
      <c r="A15" s="127" t="s">
        <v>122</v>
      </c>
      <c r="B15" s="127"/>
      <c r="C15" s="127"/>
      <c r="D15" s="127"/>
      <c r="E15" s="127"/>
      <c r="F15" s="127"/>
      <c r="G15" s="127"/>
      <c r="H15" s="127"/>
      <c r="I15" s="127"/>
      <c r="J15" s="127"/>
    </row>
  </sheetData>
  <mergeCells count="1">
    <mergeCell ref="A15:J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46AD1-E245-45BD-8F86-6D9F96CB4090}">
  <sheetPr>
    <pageSetUpPr fitToPage="1"/>
  </sheetPr>
  <dimension ref="A1:Q28"/>
  <sheetViews>
    <sheetView zoomScaleNormal="100" workbookViewId="0">
      <selection sqref="A1:M1"/>
    </sheetView>
  </sheetViews>
  <sheetFormatPr defaultRowHeight="13.2" x14ac:dyDescent="0.25"/>
  <cols>
    <col min="1" max="1" width="42.5546875" style="1" customWidth="1"/>
    <col min="2" max="2" width="28.6640625" style="2" customWidth="1"/>
    <col min="3" max="4" width="8.6640625" style="8" customWidth="1"/>
    <col min="5" max="5" width="8.5546875" style="8" customWidth="1"/>
    <col min="6" max="6" width="10.6640625" style="3" customWidth="1"/>
    <col min="7" max="7" width="21.6640625" style="5" customWidth="1"/>
    <col min="8" max="9" width="21.6640625" style="53" customWidth="1"/>
    <col min="10" max="10" width="11.88671875" style="53" customWidth="1"/>
    <col min="11" max="11" width="14.6640625" style="53" bestFit="1" customWidth="1"/>
    <col min="12" max="12" width="8.6640625" style="53" customWidth="1"/>
    <col min="13" max="13" width="16.109375" style="53" customWidth="1"/>
    <col min="14" max="14" width="10.6640625" customWidth="1"/>
    <col min="15" max="15" width="10.5546875" customWidth="1"/>
    <col min="16" max="18" width="8.6640625" customWidth="1"/>
  </cols>
  <sheetData>
    <row r="1" spans="1:17" ht="17.399999999999999" x14ac:dyDescent="0.3">
      <c r="A1" s="130" t="s">
        <v>184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7" ht="15.6" x14ac:dyDescent="0.3">
      <c r="A2" s="131" t="s">
        <v>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ht="15.6" x14ac:dyDescent="0.3">
      <c r="A3" s="131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7" ht="15.6" x14ac:dyDescent="0.3">
      <c r="A4" s="45"/>
      <c r="B4" s="45"/>
      <c r="C4" s="45"/>
      <c r="D4" s="45"/>
      <c r="E4" s="45"/>
      <c r="F4" s="45"/>
      <c r="G4" s="66"/>
      <c r="H4" s="47"/>
      <c r="I4" s="47"/>
      <c r="J4" s="47"/>
      <c r="K4" s="47"/>
      <c r="L4" s="47"/>
      <c r="M4" s="47"/>
    </row>
    <row r="5" spans="1:17" ht="15.6" x14ac:dyDescent="0.3">
      <c r="A5" s="20" t="s">
        <v>42</v>
      </c>
      <c r="B5" s="45"/>
      <c r="C5" s="45"/>
      <c r="D5" s="45"/>
      <c r="E5" s="45"/>
      <c r="F5" s="45"/>
      <c r="G5" s="66"/>
      <c r="H5" s="47"/>
      <c r="I5" s="47"/>
      <c r="J5" s="47"/>
      <c r="K5" s="47"/>
      <c r="L5" s="47"/>
      <c r="M5" s="47"/>
    </row>
    <row r="6" spans="1:17" ht="13.8" x14ac:dyDescent="0.3">
      <c r="A6" s="29" t="s">
        <v>189</v>
      </c>
      <c r="B6" s="22"/>
      <c r="C6" s="16"/>
      <c r="D6" s="16"/>
      <c r="E6" s="16"/>
      <c r="F6" s="23"/>
      <c r="G6" s="31"/>
      <c r="H6" s="48"/>
      <c r="I6" s="48"/>
      <c r="J6" s="48"/>
      <c r="K6" s="48"/>
      <c r="L6" s="48"/>
      <c r="M6" s="48"/>
    </row>
    <row r="7" spans="1:17" ht="13.8" x14ac:dyDescent="0.3">
      <c r="A7" s="30" t="s">
        <v>44</v>
      </c>
      <c r="B7" s="22"/>
      <c r="C7" s="16"/>
      <c r="D7" s="16"/>
      <c r="E7" s="16"/>
      <c r="F7" s="23"/>
      <c r="G7" s="31"/>
      <c r="H7" s="48"/>
      <c r="I7" s="48"/>
      <c r="J7" s="48"/>
      <c r="K7" s="48"/>
      <c r="L7" s="48"/>
      <c r="M7" s="48"/>
    </row>
    <row r="8" spans="1:17" ht="13.8" x14ac:dyDescent="0.3">
      <c r="A8" s="30" t="s">
        <v>45</v>
      </c>
      <c r="B8" s="22"/>
      <c r="C8" s="16"/>
      <c r="D8" s="16"/>
      <c r="E8" s="16"/>
      <c r="F8" s="23"/>
      <c r="G8" s="31"/>
      <c r="H8" s="48"/>
      <c r="I8" s="48"/>
      <c r="J8" s="48"/>
      <c r="K8" s="48"/>
      <c r="L8" s="48"/>
      <c r="M8" s="48"/>
    </row>
    <row r="9" spans="1:17" ht="13.8" x14ac:dyDescent="0.3">
      <c r="A9" s="30" t="s">
        <v>46</v>
      </c>
      <c r="B9" s="22"/>
      <c r="C9" s="16"/>
      <c r="D9" s="16"/>
      <c r="E9" s="16"/>
      <c r="F9" s="23"/>
      <c r="G9" s="31"/>
      <c r="H9" s="48"/>
      <c r="I9" s="48"/>
      <c r="J9" s="48"/>
      <c r="K9" s="48"/>
      <c r="L9" s="48"/>
      <c r="M9" s="48"/>
    </row>
    <row r="10" spans="1:17" ht="13.8" x14ac:dyDescent="0.3">
      <c r="A10" s="30" t="s">
        <v>47</v>
      </c>
      <c r="B10" s="22"/>
      <c r="C10" s="16"/>
      <c r="D10" s="16"/>
      <c r="E10" s="16"/>
      <c r="F10" s="23"/>
      <c r="G10" s="31"/>
      <c r="H10" s="48"/>
      <c r="I10" s="48"/>
      <c r="J10" s="48"/>
      <c r="K10" s="48"/>
      <c r="L10" s="48"/>
      <c r="M10" s="48"/>
    </row>
    <row r="11" spans="1:17" ht="13.8" x14ac:dyDescent="0.3">
      <c r="A11" s="30" t="s">
        <v>48</v>
      </c>
      <c r="B11" s="22"/>
      <c r="C11" s="16"/>
      <c r="D11" s="16"/>
      <c r="E11" s="16"/>
      <c r="F11" s="23"/>
      <c r="G11" s="31"/>
      <c r="H11" s="48"/>
      <c r="I11" s="48"/>
      <c r="J11" s="48"/>
      <c r="K11" s="48"/>
      <c r="L11" s="48"/>
      <c r="M11" s="48"/>
    </row>
    <row r="12" spans="1:17" x14ac:dyDescent="0.25">
      <c r="A12" s="21"/>
      <c r="B12" s="22"/>
      <c r="C12" s="16"/>
      <c r="D12" s="16"/>
      <c r="E12" s="16"/>
      <c r="F12" s="23"/>
      <c r="G12" s="31"/>
      <c r="H12" s="48"/>
      <c r="I12" s="48"/>
      <c r="J12" s="48"/>
      <c r="K12" s="48"/>
      <c r="L12" s="48"/>
      <c r="M12" s="48"/>
    </row>
    <row r="13" spans="1:17" ht="22.2" customHeight="1" thickBot="1" x14ac:dyDescent="0.3">
      <c r="A13" s="21"/>
      <c r="B13" s="22"/>
      <c r="C13" s="132" t="s">
        <v>21</v>
      </c>
      <c r="D13" s="132"/>
      <c r="E13" s="132"/>
      <c r="F13" s="23"/>
      <c r="G13" s="133" t="s">
        <v>34</v>
      </c>
      <c r="H13" s="133"/>
      <c r="I13" s="133"/>
      <c r="J13" s="133"/>
      <c r="K13" s="133"/>
      <c r="L13" s="133"/>
      <c r="M13" s="133"/>
    </row>
    <row r="14" spans="1:17" ht="46.8" customHeight="1" thickBot="1" x14ac:dyDescent="0.3">
      <c r="A14" s="33" t="s">
        <v>49</v>
      </c>
      <c r="B14" s="22"/>
      <c r="C14" s="35" t="s">
        <v>0</v>
      </c>
      <c r="D14" s="35" t="s">
        <v>1</v>
      </c>
      <c r="E14" s="35" t="s">
        <v>2</v>
      </c>
      <c r="F14" s="36"/>
      <c r="G14" s="67" t="s">
        <v>19</v>
      </c>
      <c r="H14" s="49" t="s">
        <v>18</v>
      </c>
      <c r="I14" s="49" t="s">
        <v>35</v>
      </c>
      <c r="J14" s="49" t="s">
        <v>23</v>
      </c>
      <c r="K14" s="49" t="s">
        <v>24</v>
      </c>
      <c r="L14" s="49" t="s">
        <v>25</v>
      </c>
      <c r="M14" s="49" t="s">
        <v>33</v>
      </c>
      <c r="O14" s="6"/>
      <c r="P14" s="6"/>
      <c r="Q14" s="6"/>
    </row>
    <row r="15" spans="1:17" ht="13.8" thickTop="1" x14ac:dyDescent="0.25">
      <c r="A15" s="21" t="s">
        <v>15</v>
      </c>
      <c r="B15" s="22"/>
      <c r="C15" s="31">
        <v>1.1200000000000001</v>
      </c>
      <c r="D15" s="31">
        <v>1.1000000000000001</v>
      </c>
      <c r="E15" s="31">
        <v>1.1299999999999999</v>
      </c>
      <c r="F15" s="23"/>
      <c r="G15" s="31">
        <f t="shared" ref="G15:G19" si="0">LN(C15)</f>
        <v>0.11332868530700327</v>
      </c>
      <c r="H15" s="48">
        <f t="shared" ref="H15:H19" si="1">(LN(E15)-LN(D15))/3.92</f>
        <v>6.8641461530418819E-3</v>
      </c>
      <c r="I15" s="48">
        <f t="shared" ref="I15:I19" si="2">1/H15^2</f>
        <v>21223.986264756688</v>
      </c>
      <c r="J15" s="48">
        <f t="shared" ref="J15:J19" si="3">(G15^2)*I15</f>
        <v>272.58795233919489</v>
      </c>
      <c r="K15" s="48">
        <f t="shared" ref="K15:K19" si="4">I15^2</f>
        <v>450457592.96658057</v>
      </c>
      <c r="L15" s="48">
        <f>H15^2 + $K$27</f>
        <v>1.0458091922500867E-3</v>
      </c>
      <c r="M15" s="48">
        <f t="shared" ref="M15:M19" si="5">1/L15</f>
        <v>956.19737081146991</v>
      </c>
    </row>
    <row r="16" spans="1:17" x14ac:dyDescent="0.25">
      <c r="A16" s="37" t="s">
        <v>11</v>
      </c>
      <c r="B16" s="22"/>
      <c r="C16" s="31">
        <v>1.1200000000000001</v>
      </c>
      <c r="D16" s="31">
        <v>1.05</v>
      </c>
      <c r="E16" s="31">
        <v>1.2</v>
      </c>
      <c r="F16" s="23"/>
      <c r="G16" s="31">
        <f t="shared" si="0"/>
        <v>0.11332868530700327</v>
      </c>
      <c r="H16" s="48">
        <f t="shared" si="1"/>
        <v>3.4064130771561875E-2</v>
      </c>
      <c r="I16" s="48">
        <f t="shared" si="2"/>
        <v>861.79779250462809</v>
      </c>
      <c r="J16" s="48">
        <f t="shared" si="3"/>
        <v>11.068405937453994</v>
      </c>
      <c r="K16" s="48">
        <f t="shared" si="4"/>
        <v>742695.43516584998</v>
      </c>
      <c r="L16" s="48">
        <f>H16^2 + $K$27</f>
        <v>2.1590576950618356E-3</v>
      </c>
      <c r="M16" s="48">
        <f t="shared" si="5"/>
        <v>463.16501976171594</v>
      </c>
    </row>
    <row r="17" spans="1:17" x14ac:dyDescent="0.25">
      <c r="A17" s="21" t="s">
        <v>16</v>
      </c>
      <c r="B17" s="22"/>
      <c r="C17" s="31">
        <v>1.1499999999999999</v>
      </c>
      <c r="D17" s="31">
        <v>1.1200000000000001</v>
      </c>
      <c r="E17" s="31">
        <v>1.17</v>
      </c>
      <c r="F17" s="23"/>
      <c r="G17" s="31">
        <f t="shared" si="0"/>
        <v>0.13976194237515863</v>
      </c>
      <c r="H17" s="48">
        <f t="shared" si="1"/>
        <v>1.1141597832311589E-2</v>
      </c>
      <c r="I17" s="48">
        <f t="shared" si="2"/>
        <v>8055.7326352110495</v>
      </c>
      <c r="J17" s="48">
        <f t="shared" si="3"/>
        <v>157.35585217834807</v>
      </c>
      <c r="K17" s="48">
        <f t="shared" si="4"/>
        <v>64894828.290004358</v>
      </c>
      <c r="L17" s="48">
        <f>H17^2 + $K$27</f>
        <v>1.1228278920967373E-3</v>
      </c>
      <c r="M17" s="48">
        <f t="shared" si="5"/>
        <v>890.60844234340141</v>
      </c>
    </row>
    <row r="18" spans="1:17" x14ac:dyDescent="0.25">
      <c r="A18" s="21" t="s">
        <v>17</v>
      </c>
      <c r="B18" s="22"/>
      <c r="C18" s="31">
        <v>1.18</v>
      </c>
      <c r="D18" s="31">
        <v>1.1599999999999999</v>
      </c>
      <c r="E18" s="31">
        <v>1.2</v>
      </c>
      <c r="F18" s="23"/>
      <c r="G18" s="31">
        <f t="shared" si="0"/>
        <v>0.16551443847757333</v>
      </c>
      <c r="H18" s="48">
        <f t="shared" si="1"/>
        <v>8.648355019306473E-3</v>
      </c>
      <c r="I18" s="48">
        <f t="shared" si="2"/>
        <v>13370.048459749847</v>
      </c>
      <c r="J18" s="48">
        <f t="shared" si="3"/>
        <v>366.27286989285454</v>
      </c>
      <c r="K18" s="48">
        <f t="shared" si="4"/>
        <v>178758195.81605926</v>
      </c>
      <c r="L18" s="48">
        <f>H18^2 + $K$27</f>
        <v>1.0734867343797304E-3</v>
      </c>
      <c r="M18" s="48">
        <f t="shared" si="5"/>
        <v>931.5438821680533</v>
      </c>
    </row>
    <row r="19" spans="1:17" ht="13.8" thickBot="1" x14ac:dyDescent="0.3">
      <c r="A19" s="37" t="s">
        <v>14</v>
      </c>
      <c r="B19" s="22"/>
      <c r="C19" s="31">
        <v>1.26</v>
      </c>
      <c r="D19" s="31">
        <v>1.19</v>
      </c>
      <c r="E19" s="31">
        <v>1.34</v>
      </c>
      <c r="F19" s="23"/>
      <c r="G19" s="31">
        <f t="shared" si="0"/>
        <v>0.23111172096338664</v>
      </c>
      <c r="H19" s="48">
        <f t="shared" si="1"/>
        <v>3.0284772152903587E-2</v>
      </c>
      <c r="I19" s="48">
        <f t="shared" si="2"/>
        <v>1090.3134732517594</v>
      </c>
      <c r="J19" s="48">
        <f t="shared" si="3"/>
        <v>58.236507477705871</v>
      </c>
      <c r="K19" s="48">
        <f t="shared" si="4"/>
        <v>1188783.4699543151</v>
      </c>
      <c r="L19" s="48">
        <f>H19^2 + $K$27</f>
        <v>1.9158601141930514E-3</v>
      </c>
      <c r="M19" s="48">
        <f t="shared" si="5"/>
        <v>521.95877590008388</v>
      </c>
    </row>
    <row r="20" spans="1:17" s="7" customFormat="1" ht="13.8" thickBot="1" x14ac:dyDescent="0.3">
      <c r="A20" s="39" t="s">
        <v>20</v>
      </c>
      <c r="B20" s="41"/>
      <c r="C20" s="42">
        <f>EXP(G20)</f>
        <v>1.1463988453683047</v>
      </c>
      <c r="D20" s="42">
        <f>EXP(G20+H20*-1.96)</f>
        <v>1.135808709756156</v>
      </c>
      <c r="E20" s="42">
        <f>EXP(G20+H20*1.96)</f>
        <v>1.1570877220548266</v>
      </c>
      <c r="F20" s="43"/>
      <c r="G20" s="42">
        <f>SUMPRODUCT(G15:G19,I15:I19)/SUM(I15:I19)</f>
        <v>0.13662559035084396</v>
      </c>
      <c r="H20" s="50">
        <f>1/SQRT(SUM(I15:I19))</f>
        <v>4.735037515363574E-3</v>
      </c>
      <c r="I20" s="51"/>
      <c r="J20" s="52"/>
      <c r="K20" s="52"/>
      <c r="L20" s="52"/>
      <c r="M20" s="52"/>
    </row>
    <row r="21" spans="1:17" s="7" customFormat="1" ht="13.8" thickBot="1" x14ac:dyDescent="0.3">
      <c r="A21" s="39" t="s">
        <v>32</v>
      </c>
      <c r="B21" s="41"/>
      <c r="C21" s="42">
        <f>EXP(G21)</f>
        <v>1.1604832873548181</v>
      </c>
      <c r="D21" s="42">
        <f>EXP(G21-1.96*H21)</f>
        <v>1.1239926629227497</v>
      </c>
      <c r="E21" s="42">
        <f>EXP(G21+1.96*H21)</f>
        <v>1.1981585864875024</v>
      </c>
      <c r="F21" s="43"/>
      <c r="G21" s="42">
        <f>SUMPRODUCT(G15:G19,M15:M19)/SUM(M15:M19)</f>
        <v>0.14883654538334609</v>
      </c>
      <c r="H21" s="50">
        <f>1/SQRT(SUM(M15:M19))</f>
        <v>1.6300674276505729E-2</v>
      </c>
      <c r="I21" s="51"/>
      <c r="J21" s="52"/>
      <c r="K21" s="52"/>
      <c r="L21" s="52"/>
      <c r="M21" s="52"/>
    </row>
    <row r="22" spans="1:17" x14ac:dyDescent="0.25">
      <c r="C22" s="5"/>
      <c r="D22" s="5"/>
      <c r="E22" s="5"/>
      <c r="J22" s="54"/>
      <c r="K22" s="49" t="s">
        <v>27</v>
      </c>
    </row>
    <row r="23" spans="1:17" s="12" customFormat="1" ht="25.2" customHeight="1" x14ac:dyDescent="0.25">
      <c r="A23" s="128" t="s">
        <v>39</v>
      </c>
      <c r="B23" s="9" t="s">
        <v>22</v>
      </c>
      <c r="C23" s="134" t="s">
        <v>38</v>
      </c>
      <c r="D23" s="134"/>
      <c r="E23" s="134"/>
      <c r="F23" s="3"/>
      <c r="G23" s="5"/>
      <c r="H23" s="53"/>
      <c r="I23" s="53"/>
      <c r="J23" s="55" t="s">
        <v>26</v>
      </c>
      <c r="K23" s="53">
        <f>SUM(J15:J19)-SUMPRODUCT(G15:G19,I15:I19)^2/SUM(I15:I19)</f>
        <v>32.958303898812574</v>
      </c>
      <c r="L23" s="53"/>
      <c r="M23" s="53"/>
      <c r="N23"/>
      <c r="O23"/>
      <c r="P23"/>
      <c r="Q23"/>
    </row>
    <row r="24" spans="1:17" s="12" customFormat="1" x14ac:dyDescent="0.25">
      <c r="A24" s="129"/>
      <c r="B24" s="61">
        <f>SUMPRODUCT(G15:G19-$G$20,G15:G19-$G$20,I15:I19)</f>
        <v>32.958303898812431</v>
      </c>
      <c r="C24" s="135">
        <f>_xlfn.CHISQ.DIST.RT(B24,COUNT(C15:C19)-1)</f>
        <v>1.2181915977479754E-6</v>
      </c>
      <c r="D24" s="135"/>
      <c r="E24" s="135"/>
      <c r="F24" s="3"/>
      <c r="G24" s="5"/>
      <c r="H24" s="53"/>
      <c r="I24" s="53"/>
      <c r="J24" s="55" t="s">
        <v>28</v>
      </c>
      <c r="K24" s="53">
        <f>COUNT(C15:C19)-1</f>
        <v>4</v>
      </c>
      <c r="L24" s="53"/>
      <c r="M24" s="53"/>
      <c r="N24"/>
      <c r="O24"/>
      <c r="P24"/>
      <c r="Q24"/>
    </row>
    <row r="25" spans="1:17" s="12" customFormat="1" x14ac:dyDescent="0.25">
      <c r="A25" s="129"/>
      <c r="B25" s="10"/>
      <c r="C25" s="25"/>
      <c r="D25" s="25"/>
      <c r="E25" s="25"/>
      <c r="F25" s="3"/>
      <c r="G25" s="5"/>
      <c r="H25" s="53"/>
      <c r="I25" s="53"/>
      <c r="J25" s="55" t="s">
        <v>29</v>
      </c>
      <c r="K25" s="53">
        <f>MAX(K23-K24,0)</f>
        <v>28.958303898812574</v>
      </c>
      <c r="L25" s="53"/>
      <c r="M25" s="53"/>
      <c r="N25"/>
      <c r="O25"/>
      <c r="P25"/>
      <c r="Q25"/>
    </row>
    <row r="26" spans="1:17" s="12" customFormat="1" x14ac:dyDescent="0.25">
      <c r="A26" s="14"/>
      <c r="B26" s="15"/>
      <c r="C26" s="16"/>
      <c r="D26" s="16"/>
      <c r="E26" s="16"/>
      <c r="F26" s="3"/>
      <c r="G26" s="5"/>
      <c r="H26" s="53"/>
      <c r="I26" s="53"/>
      <c r="J26" s="55" t="s">
        <v>30</v>
      </c>
      <c r="K26" s="53">
        <f>SUM(I15:I19)-SUM(K15:K19)/SUM(I15:I19)</f>
        <v>28996.210939982673</v>
      </c>
      <c r="L26" s="53"/>
      <c r="M26" s="53"/>
      <c r="N26"/>
      <c r="O26"/>
      <c r="P26"/>
      <c r="Q26"/>
    </row>
    <row r="27" spans="1:17" s="12" customFormat="1" x14ac:dyDescent="0.25">
      <c r="A27" s="1"/>
      <c r="B27" s="2"/>
      <c r="C27" s="8"/>
      <c r="D27" s="8"/>
      <c r="E27" s="8"/>
      <c r="F27" s="3"/>
      <c r="G27" s="5"/>
      <c r="H27" s="53"/>
      <c r="I27" s="53"/>
      <c r="J27" s="55" t="s">
        <v>31</v>
      </c>
      <c r="K27" s="53">
        <f>K25/K26</f>
        <v>9.9869268983976693E-4</v>
      </c>
      <c r="L27" s="53"/>
      <c r="M27" s="53"/>
      <c r="N27"/>
      <c r="O27"/>
      <c r="P27"/>
      <c r="Q27"/>
    </row>
    <row r="28" spans="1:17" s="12" customFormat="1" x14ac:dyDescent="0.25">
      <c r="A28" s="18" t="s">
        <v>37</v>
      </c>
      <c r="B28" s="19">
        <f>(B24-COUNT(C15:C19)+1)/B24</f>
        <v>0.87863453130717295</v>
      </c>
      <c r="C28" s="17"/>
      <c r="D28" s="17"/>
      <c r="E28" s="17"/>
      <c r="F28" s="3"/>
      <c r="G28" s="5"/>
      <c r="H28" s="53"/>
      <c r="I28" s="53"/>
      <c r="J28" s="53"/>
      <c r="K28" s="53"/>
      <c r="L28" s="53"/>
      <c r="M28" s="53"/>
      <c r="N28"/>
      <c r="O28"/>
      <c r="P28"/>
      <c r="Q28"/>
    </row>
  </sheetData>
  <mergeCells count="8">
    <mergeCell ref="A23:A25"/>
    <mergeCell ref="C23:E23"/>
    <mergeCell ref="C24:E24"/>
    <mergeCell ref="A1:M1"/>
    <mergeCell ref="A2:M2"/>
    <mergeCell ref="A3:M3"/>
    <mergeCell ref="C13:E13"/>
    <mergeCell ref="G13:M13"/>
  </mergeCells>
  <pageMargins left="0.5" right="0.25" top="1" bottom="0.25" header="0.5" footer="0.5"/>
  <pageSetup scale="59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CF8A-5EB9-4CEB-9C55-D79864A4A83C}">
  <sheetPr>
    <pageSetUpPr fitToPage="1"/>
  </sheetPr>
  <dimension ref="A1:Q33"/>
  <sheetViews>
    <sheetView zoomScaleNormal="100" workbookViewId="0">
      <selection sqref="A1:M1"/>
    </sheetView>
  </sheetViews>
  <sheetFormatPr defaultRowHeight="13.2" x14ac:dyDescent="0.25"/>
  <cols>
    <col min="1" max="1" width="42.5546875" style="1" customWidth="1"/>
    <col min="2" max="2" width="28.6640625" style="2" customWidth="1"/>
    <col min="3" max="4" width="8.6640625" style="8" customWidth="1"/>
    <col min="5" max="5" width="8.5546875" style="8" customWidth="1"/>
    <col min="6" max="6" width="10.6640625" style="3" customWidth="1"/>
    <col min="7" max="7" width="21.6640625" style="5" customWidth="1"/>
    <col min="8" max="9" width="21.6640625" style="53" customWidth="1"/>
    <col min="10" max="10" width="11.88671875" style="53" customWidth="1"/>
    <col min="11" max="11" width="16.6640625" style="53" bestFit="1" customWidth="1"/>
    <col min="12" max="12" width="8.6640625" style="53" customWidth="1"/>
    <col min="13" max="13" width="16.109375" style="53" customWidth="1"/>
    <col min="14" max="14" width="10.6640625" customWidth="1"/>
    <col min="15" max="15" width="10.5546875" customWidth="1"/>
    <col min="16" max="18" width="8.6640625" customWidth="1"/>
  </cols>
  <sheetData>
    <row r="1" spans="1:17" ht="17.399999999999999" x14ac:dyDescent="0.3">
      <c r="A1" s="130" t="s">
        <v>183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7" ht="15.6" x14ac:dyDescent="0.3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ht="15.6" x14ac:dyDescent="0.3">
      <c r="A3" s="131" t="s">
        <v>145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7" ht="15.6" x14ac:dyDescent="0.3">
      <c r="A4" s="68"/>
      <c r="B4" s="68"/>
      <c r="C4" s="68"/>
      <c r="D4" s="68"/>
      <c r="E4" s="68"/>
      <c r="F4" s="68"/>
      <c r="G4" s="66"/>
      <c r="H4" s="47"/>
      <c r="I4" s="47"/>
      <c r="J4" s="47"/>
      <c r="K4" s="47"/>
      <c r="L4" s="47"/>
      <c r="M4" s="47"/>
    </row>
    <row r="5" spans="1:17" ht="15.6" x14ac:dyDescent="0.3">
      <c r="A5" s="20" t="s">
        <v>42</v>
      </c>
      <c r="B5" s="68"/>
      <c r="C5" s="68"/>
      <c r="D5" s="68"/>
      <c r="E5" s="68"/>
      <c r="F5" s="68"/>
      <c r="G5" s="66"/>
      <c r="H5" s="47"/>
      <c r="I5" s="47"/>
      <c r="J5" s="47"/>
      <c r="K5" s="47"/>
      <c r="L5" s="47"/>
      <c r="M5" s="47"/>
    </row>
    <row r="6" spans="1:17" ht="13.8" x14ac:dyDescent="0.3">
      <c r="A6" s="29" t="s">
        <v>189</v>
      </c>
      <c r="B6" s="22"/>
      <c r="C6" s="16"/>
      <c r="D6" s="16"/>
      <c r="E6" s="16"/>
      <c r="F6" s="23"/>
      <c r="G6" s="31"/>
      <c r="H6" s="48"/>
      <c r="I6" s="48"/>
      <c r="J6" s="48"/>
      <c r="K6" s="48"/>
      <c r="L6" s="48"/>
      <c r="M6" s="48"/>
    </row>
    <row r="7" spans="1:17" ht="13.8" x14ac:dyDescent="0.3">
      <c r="A7" s="29" t="s">
        <v>44</v>
      </c>
      <c r="B7" s="22"/>
      <c r="C7" s="16"/>
      <c r="D7" s="16"/>
      <c r="E7" s="16"/>
      <c r="F7" s="23"/>
      <c r="G7" s="31"/>
      <c r="H7" s="48"/>
      <c r="I7" s="48"/>
      <c r="J7" s="48"/>
      <c r="K7" s="48"/>
      <c r="L7" s="48"/>
      <c r="M7" s="48"/>
    </row>
    <row r="8" spans="1:17" ht="13.8" x14ac:dyDescent="0.3">
      <c r="A8" s="30" t="s">
        <v>45</v>
      </c>
      <c r="B8" s="22"/>
      <c r="C8" s="16"/>
      <c r="D8" s="16"/>
      <c r="E8" s="16"/>
      <c r="F8" s="23"/>
      <c r="G8" s="31"/>
      <c r="H8" s="48"/>
      <c r="I8" s="48"/>
      <c r="J8" s="48"/>
      <c r="K8" s="48"/>
      <c r="L8" s="48"/>
      <c r="M8" s="48"/>
    </row>
    <row r="9" spans="1:17" ht="13.8" x14ac:dyDescent="0.3">
      <c r="A9" s="30" t="s">
        <v>46</v>
      </c>
      <c r="B9" s="22"/>
      <c r="C9" s="16"/>
      <c r="D9" s="16"/>
      <c r="E9" s="16"/>
      <c r="F9" s="23"/>
      <c r="G9" s="31"/>
      <c r="H9" s="48"/>
      <c r="I9" s="48"/>
      <c r="J9" s="48"/>
      <c r="K9" s="48"/>
      <c r="L9" s="48"/>
      <c r="M9" s="48"/>
    </row>
    <row r="10" spans="1:17" ht="13.8" x14ac:dyDescent="0.3">
      <c r="A10" s="30" t="s">
        <v>47</v>
      </c>
      <c r="B10" s="22"/>
      <c r="C10" s="16"/>
      <c r="D10" s="16"/>
      <c r="E10" s="16"/>
      <c r="F10" s="23"/>
      <c r="G10" s="31"/>
      <c r="H10" s="48"/>
      <c r="I10" s="48"/>
      <c r="J10" s="48"/>
      <c r="K10" s="48"/>
      <c r="L10" s="48"/>
      <c r="M10" s="48"/>
    </row>
    <row r="11" spans="1:17" ht="13.8" x14ac:dyDescent="0.3">
      <c r="A11" s="30" t="s">
        <v>48</v>
      </c>
      <c r="B11" s="22"/>
      <c r="C11" s="16"/>
      <c r="D11" s="16"/>
      <c r="E11" s="16"/>
      <c r="F11" s="23"/>
      <c r="G11" s="31"/>
      <c r="H11" s="48"/>
      <c r="I11" s="48"/>
      <c r="J11" s="48"/>
      <c r="K11" s="48"/>
      <c r="L11" s="48"/>
      <c r="M11" s="48"/>
    </row>
    <row r="12" spans="1:17" x14ac:dyDescent="0.25">
      <c r="A12" s="21"/>
      <c r="B12" s="22"/>
      <c r="C12" s="16"/>
      <c r="D12" s="16"/>
      <c r="E12" s="16"/>
      <c r="F12" s="23"/>
      <c r="G12" s="31"/>
      <c r="H12" s="48"/>
      <c r="I12" s="48"/>
      <c r="J12" s="48"/>
      <c r="K12" s="48"/>
      <c r="L12" s="48"/>
      <c r="M12" s="48"/>
    </row>
    <row r="13" spans="1:17" ht="22.2" customHeight="1" thickBot="1" x14ac:dyDescent="0.3">
      <c r="A13" s="21"/>
      <c r="B13" s="22"/>
      <c r="C13" s="132" t="s">
        <v>21</v>
      </c>
      <c r="D13" s="132"/>
      <c r="E13" s="132"/>
      <c r="F13" s="23"/>
      <c r="G13" s="133" t="s">
        <v>34</v>
      </c>
      <c r="H13" s="133"/>
      <c r="I13" s="133"/>
      <c r="J13" s="133"/>
      <c r="K13" s="133"/>
      <c r="L13" s="133"/>
      <c r="M13" s="133"/>
    </row>
    <row r="14" spans="1:17" ht="46.8" customHeight="1" thickBot="1" x14ac:dyDescent="0.3">
      <c r="A14" s="33" t="s">
        <v>36</v>
      </c>
      <c r="B14" s="22"/>
      <c r="C14" s="35" t="s">
        <v>0</v>
      </c>
      <c r="D14" s="35" t="s">
        <v>1</v>
      </c>
      <c r="E14" s="35" t="s">
        <v>2</v>
      </c>
      <c r="F14" s="36"/>
      <c r="G14" s="67" t="s">
        <v>19</v>
      </c>
      <c r="H14" s="49" t="s">
        <v>18</v>
      </c>
      <c r="I14" s="49" t="s">
        <v>35</v>
      </c>
      <c r="J14" s="49" t="s">
        <v>23</v>
      </c>
      <c r="K14" s="49" t="s">
        <v>24</v>
      </c>
      <c r="L14" s="49" t="s">
        <v>25</v>
      </c>
      <c r="M14" s="49" t="s">
        <v>33</v>
      </c>
      <c r="O14" s="6"/>
      <c r="P14" s="6"/>
      <c r="Q14" s="6"/>
    </row>
    <row r="15" spans="1:17" ht="13.8" thickTop="1" x14ac:dyDescent="0.25">
      <c r="A15" s="37" t="s">
        <v>3</v>
      </c>
      <c r="B15" s="22"/>
      <c r="C15" s="31">
        <v>0.86</v>
      </c>
      <c r="D15" s="31">
        <v>0.72</v>
      </c>
      <c r="E15" s="31">
        <v>1.02</v>
      </c>
      <c r="F15" s="23"/>
      <c r="G15" s="31">
        <f>LN(C15)</f>
        <v>-0.15082288973458366</v>
      </c>
      <c r="H15" s="48">
        <f>(LN(E15)-LN(D15))/3.92</f>
        <v>8.8853748537810154E-2</v>
      </c>
      <c r="I15" s="48">
        <f>1/H15^2</f>
        <v>126.66262701112289</v>
      </c>
      <c r="J15" s="48">
        <f t="shared" ref="J15:J24" si="0">(G15^2)*I15</f>
        <v>2.8812636896902806</v>
      </c>
      <c r="K15" s="48">
        <f t="shared" ref="K15:K24" si="1">I15^2</f>
        <v>16043.421081358838</v>
      </c>
      <c r="L15" s="48">
        <f t="shared" ref="L15:L24" si="2">H15^2 + $K$32</f>
        <v>8.3107616161220456E-3</v>
      </c>
      <c r="M15" s="48">
        <f>1/L15</f>
        <v>120.32591550455497</v>
      </c>
    </row>
    <row r="16" spans="1:17" x14ac:dyDescent="0.25">
      <c r="A16" s="37" t="s">
        <v>4</v>
      </c>
      <c r="B16" s="22"/>
      <c r="C16" s="31">
        <v>0.94</v>
      </c>
      <c r="D16" s="31">
        <v>0.78</v>
      </c>
      <c r="E16" s="31">
        <v>1.1299999999999999</v>
      </c>
      <c r="F16" s="23"/>
      <c r="G16" s="31">
        <f t="shared" ref="G16:G24" si="3">LN(C16)</f>
        <v>-6.1875403718087529E-2</v>
      </c>
      <c r="H16" s="48">
        <f t="shared" ref="H16:H24" si="4">(LN(E16)-LN(D16))/3.92</f>
        <v>9.4560967352742026E-2</v>
      </c>
      <c r="I16" s="48">
        <f t="shared" ref="I16:I24" si="5">1/H16^2</f>
        <v>111.83459962109895</v>
      </c>
      <c r="J16" s="48">
        <f t="shared" si="0"/>
        <v>0.42816609935249561</v>
      </c>
      <c r="K16" s="48">
        <f t="shared" si="1"/>
        <v>12506.977672411504</v>
      </c>
      <c r="L16" s="48">
        <f t="shared" si="2"/>
        <v>9.3575495335879895E-3</v>
      </c>
      <c r="M16" s="48">
        <f t="shared" ref="M16:M24" si="6">1/L16</f>
        <v>106.86558445783267</v>
      </c>
    </row>
    <row r="17" spans="1:17" x14ac:dyDescent="0.25">
      <c r="A17" s="37" t="s">
        <v>5</v>
      </c>
      <c r="B17" s="22"/>
      <c r="C17" s="31">
        <v>1.01</v>
      </c>
      <c r="D17" s="31">
        <v>0.94</v>
      </c>
      <c r="E17" s="31">
        <v>1.08</v>
      </c>
      <c r="F17" s="23"/>
      <c r="G17" s="31">
        <f t="shared" si="3"/>
        <v>9.950330853168092E-3</v>
      </c>
      <c r="H17" s="48">
        <f t="shared" si="4"/>
        <v>3.5417460421993861E-2</v>
      </c>
      <c r="I17" s="48">
        <f t="shared" si="5"/>
        <v>797.19610012694648</v>
      </c>
      <c r="J17" s="48">
        <f t="shared" si="0"/>
        <v>7.8929655711702962E-2</v>
      </c>
      <c r="K17" s="48">
        <f t="shared" si="1"/>
        <v>635521.62205761252</v>
      </c>
      <c r="L17" s="48">
        <f t="shared" si="2"/>
        <v>1.6701694896451465E-3</v>
      </c>
      <c r="M17" s="48">
        <f t="shared" si="6"/>
        <v>598.74162843943793</v>
      </c>
    </row>
    <row r="18" spans="1:17" x14ac:dyDescent="0.25">
      <c r="A18" s="37" t="s">
        <v>6</v>
      </c>
      <c r="B18" s="22"/>
      <c r="C18" s="31">
        <v>1.03</v>
      </c>
      <c r="D18" s="31">
        <v>1.01</v>
      </c>
      <c r="E18" s="31">
        <v>1.06</v>
      </c>
      <c r="F18" s="23"/>
      <c r="G18" s="31">
        <f t="shared" si="3"/>
        <v>2.9558802241544429E-2</v>
      </c>
      <c r="H18" s="48">
        <f t="shared" si="4"/>
        <v>1.2326167671124422E-2</v>
      </c>
      <c r="I18" s="48">
        <f t="shared" si="5"/>
        <v>6581.7875198650772</v>
      </c>
      <c r="J18" s="48">
        <f t="shared" si="0"/>
        <v>5.7506577547457516</v>
      </c>
      <c r="K18" s="48">
        <f t="shared" si="1"/>
        <v>43319926.956651688</v>
      </c>
      <c r="L18" s="48">
        <f t="shared" si="2"/>
        <v>5.6770739635831767E-4</v>
      </c>
      <c r="M18" s="48">
        <f t="shared" si="6"/>
        <v>1761.4707971302066</v>
      </c>
    </row>
    <row r="19" spans="1:17" x14ac:dyDescent="0.25">
      <c r="A19" s="37" t="s">
        <v>7</v>
      </c>
      <c r="B19" s="22"/>
      <c r="C19" s="31">
        <v>1.06</v>
      </c>
      <c r="D19" s="31">
        <v>1.01</v>
      </c>
      <c r="E19" s="31">
        <v>1.1100000000000001</v>
      </c>
      <c r="F19" s="23"/>
      <c r="G19" s="31">
        <f t="shared" si="3"/>
        <v>5.8268908123975824E-2</v>
      </c>
      <c r="H19" s="48">
        <f t="shared" si="4"/>
        <v>2.4084103181396622E-2</v>
      </c>
      <c r="I19" s="48">
        <f t="shared" si="5"/>
        <v>1724.007066853366</v>
      </c>
      <c r="J19" s="48">
        <f t="shared" si="0"/>
        <v>5.853461981272134</v>
      </c>
      <c r="K19" s="48">
        <f t="shared" si="1"/>
        <v>2972200.3665603464</v>
      </c>
      <c r="L19" s="48">
        <f t="shared" si="2"/>
        <v>9.958170129538038E-4</v>
      </c>
      <c r="M19" s="48">
        <f t="shared" si="6"/>
        <v>1004.2005579255857</v>
      </c>
    </row>
    <row r="20" spans="1:17" x14ac:dyDescent="0.25">
      <c r="A20" s="37" t="s">
        <v>8</v>
      </c>
      <c r="B20" s="22"/>
      <c r="C20" s="31">
        <v>1.07</v>
      </c>
      <c r="D20" s="31">
        <v>1.06</v>
      </c>
      <c r="E20" s="31">
        <v>1.0900000000000001</v>
      </c>
      <c r="F20" s="23"/>
      <c r="G20" s="31">
        <f t="shared" si="3"/>
        <v>6.7658648473814864E-2</v>
      </c>
      <c r="H20" s="48">
        <f t="shared" si="4"/>
        <v>7.1195888053766808E-3</v>
      </c>
      <c r="I20" s="48">
        <f t="shared" si="5"/>
        <v>19728.323327908874</v>
      </c>
      <c r="J20" s="48">
        <f t="shared" si="0"/>
        <v>90.310201943858985</v>
      </c>
      <c r="K20" s="48">
        <f t="shared" si="1"/>
        <v>389206741.33051348</v>
      </c>
      <c r="L20" s="48">
        <f t="shared" si="2"/>
        <v>4.6646153165928977E-4</v>
      </c>
      <c r="M20" s="48">
        <f t="shared" si="6"/>
        <v>2143.7995035578078</v>
      </c>
    </row>
    <row r="21" spans="1:17" x14ac:dyDescent="0.25">
      <c r="A21" s="37" t="s">
        <v>9</v>
      </c>
      <c r="B21" s="22"/>
      <c r="C21" s="31">
        <v>1.08</v>
      </c>
      <c r="D21" s="31">
        <v>0.97</v>
      </c>
      <c r="E21" s="31">
        <v>1.21</v>
      </c>
      <c r="F21" s="23"/>
      <c r="G21" s="31">
        <f t="shared" si="3"/>
        <v>7.6961041136128394E-2</v>
      </c>
      <c r="H21" s="48">
        <f t="shared" si="4"/>
        <v>5.6397848748305682E-2</v>
      </c>
      <c r="I21" s="48">
        <f t="shared" si="5"/>
        <v>314.39448779170681</v>
      </c>
      <c r="J21" s="48">
        <f t="shared" si="0"/>
        <v>1.8621591336868193</v>
      </c>
      <c r="K21" s="48">
        <f t="shared" si="1"/>
        <v>98843.893953809675</v>
      </c>
      <c r="L21" s="48">
        <f t="shared" si="2"/>
        <v>3.5964903303384093E-3</v>
      </c>
      <c r="M21" s="48">
        <f t="shared" si="6"/>
        <v>278.04884989247438</v>
      </c>
    </row>
    <row r="22" spans="1:17" x14ac:dyDescent="0.25">
      <c r="A22" s="37" t="s">
        <v>10</v>
      </c>
      <c r="B22" s="22"/>
      <c r="C22" s="31">
        <v>1.08</v>
      </c>
      <c r="D22" s="31">
        <v>1.08</v>
      </c>
      <c r="E22" s="31">
        <v>1.0900000000000001</v>
      </c>
      <c r="F22" s="23"/>
      <c r="G22" s="31">
        <f t="shared" si="3"/>
        <v>7.6961041136128394E-2</v>
      </c>
      <c r="H22" s="48">
        <f t="shared" si="4"/>
        <v>2.3511875267663313E-3</v>
      </c>
      <c r="I22" s="48">
        <f t="shared" si="5"/>
        <v>180894.54132789405</v>
      </c>
      <c r="J22" s="48">
        <f t="shared" si="0"/>
        <v>1071.4387034387164</v>
      </c>
      <c r="K22" s="48">
        <f t="shared" si="1"/>
        <v>32722835082.229172</v>
      </c>
      <c r="L22" s="48">
        <f t="shared" si="2"/>
        <v>4.213010696876664E-4</v>
      </c>
      <c r="M22" s="48">
        <f t="shared" si="6"/>
        <v>2373.599480156447</v>
      </c>
    </row>
    <row r="23" spans="1:17" x14ac:dyDescent="0.25">
      <c r="A23" s="37" t="s">
        <v>12</v>
      </c>
      <c r="B23" s="22"/>
      <c r="C23" s="31">
        <v>1.1299999999999999</v>
      </c>
      <c r="D23" s="31">
        <v>1.05</v>
      </c>
      <c r="E23" s="31">
        <v>1.22</v>
      </c>
      <c r="F23" s="23"/>
      <c r="G23" s="31">
        <f t="shared" si="3"/>
        <v>0.12221763272424911</v>
      </c>
      <c r="H23" s="48">
        <f t="shared" si="4"/>
        <v>3.8280789432584984E-2</v>
      </c>
      <c r="I23" s="48">
        <f t="shared" si="5"/>
        <v>682.39876067466412</v>
      </c>
      <c r="J23" s="48">
        <f t="shared" si="0"/>
        <v>10.193092476538022</v>
      </c>
      <c r="K23" s="48">
        <f t="shared" si="1"/>
        <v>465668.06857031753</v>
      </c>
      <c r="L23" s="48">
        <f t="shared" si="2"/>
        <v>1.8811918264835551E-3</v>
      </c>
      <c r="M23" s="48">
        <f t="shared" si="6"/>
        <v>531.57789967079771</v>
      </c>
    </row>
    <row r="24" spans="1:17" ht="13.8" thickBot="1" x14ac:dyDescent="0.3">
      <c r="A24" s="37" t="s">
        <v>13</v>
      </c>
      <c r="B24" s="22"/>
      <c r="C24" s="31">
        <v>1.1399999999999999</v>
      </c>
      <c r="D24" s="31">
        <v>1.07</v>
      </c>
      <c r="E24" s="31">
        <v>1.22</v>
      </c>
      <c r="F24" s="23"/>
      <c r="G24" s="31">
        <f t="shared" si="3"/>
        <v>0.131028262406404</v>
      </c>
      <c r="H24" s="48">
        <f t="shared" si="4"/>
        <v>3.3467400579426099E-2</v>
      </c>
      <c r="I24" s="48">
        <f t="shared" si="5"/>
        <v>892.80381254165798</v>
      </c>
      <c r="J24" s="48">
        <f t="shared" si="0"/>
        <v>15.328017929624135</v>
      </c>
      <c r="K24" s="48">
        <f t="shared" si="1"/>
        <v>797098.64768891991</v>
      </c>
      <c r="L24" s="48">
        <f t="shared" si="2"/>
        <v>1.5358398884454151E-3</v>
      </c>
      <c r="M24" s="48">
        <f t="shared" si="6"/>
        <v>651.10953786478683</v>
      </c>
    </row>
    <row r="25" spans="1:17" s="7" customFormat="1" ht="13.8" thickBot="1" x14ac:dyDescent="0.3">
      <c r="A25" s="39" t="s">
        <v>20</v>
      </c>
      <c r="B25" s="41"/>
      <c r="C25" s="42">
        <f>EXP(G25)</f>
        <v>1.0772182139199105</v>
      </c>
      <c r="D25" s="42">
        <f>EXP(G25+H25*-1.96)</f>
        <v>1.0726408322770766</v>
      </c>
      <c r="E25" s="42">
        <f>EXP(G25+H25*1.96)</f>
        <v>1.0818151290562246</v>
      </c>
      <c r="F25" s="43"/>
      <c r="G25" s="42">
        <f>SUMPRODUCT(G15:G24,I15:I24)/SUM(I15:I24)</f>
        <v>7.4381990390069527E-2</v>
      </c>
      <c r="H25" s="50">
        <f>1/SQRT(SUM(I15:I24))</f>
        <v>2.172609716459896E-3</v>
      </c>
      <c r="I25" s="51"/>
      <c r="J25" s="52"/>
      <c r="K25" s="52"/>
      <c r="L25" s="52"/>
      <c r="M25" s="52"/>
    </row>
    <row r="26" spans="1:17" s="7" customFormat="1" ht="13.8" thickBot="1" x14ac:dyDescent="0.3">
      <c r="A26" s="39" t="s">
        <v>32</v>
      </c>
      <c r="B26" s="41"/>
      <c r="C26" s="42">
        <f>EXP(G26)</f>
        <v>1.063724038834919</v>
      </c>
      <c r="D26" s="42">
        <f>EXP(G26-1.96*H26)</f>
        <v>1.0426235977581533</v>
      </c>
      <c r="E26" s="42">
        <f>EXP(G26+1.96*H26)</f>
        <v>1.0852515070906121</v>
      </c>
      <c r="F26" s="43"/>
      <c r="G26" s="42">
        <f>SUMPRODUCT(G15:G24,M15:M24)/SUM(M15:M24)</f>
        <v>6.1775995282056344E-2</v>
      </c>
      <c r="H26" s="50">
        <f>1/SQRT(SUM(M15:M24))</f>
        <v>1.0222330927639384E-2</v>
      </c>
      <c r="I26" s="51"/>
      <c r="J26" s="52"/>
      <c r="K26" s="52"/>
      <c r="L26" s="52"/>
      <c r="M26" s="52"/>
    </row>
    <row r="27" spans="1:17" x14ac:dyDescent="0.25">
      <c r="A27" s="73" t="s">
        <v>96</v>
      </c>
      <c r="C27" s="72">
        <v>1.1000000000000001</v>
      </c>
      <c r="D27" s="72">
        <v>1.06</v>
      </c>
      <c r="E27" s="72">
        <v>1.1299999999999999</v>
      </c>
      <c r="J27" s="54"/>
      <c r="K27" s="49" t="s">
        <v>27</v>
      </c>
    </row>
    <row r="28" spans="1:17" s="53" customFormat="1" ht="25.2" customHeight="1" x14ac:dyDescent="0.25">
      <c r="A28" s="128" t="s">
        <v>39</v>
      </c>
      <c r="B28" s="9" t="s">
        <v>22</v>
      </c>
      <c r="C28" s="134" t="s">
        <v>38</v>
      </c>
      <c r="D28" s="134"/>
      <c r="E28" s="134"/>
      <c r="F28" s="3"/>
      <c r="G28" s="5"/>
      <c r="J28" s="55" t="s">
        <v>26</v>
      </c>
      <c r="K28" s="53">
        <f>SUM(J15:J24)-SUMPRODUCT(G15:G24,I15:I24)^2/SUM(I15:I24)</f>
        <v>32.004439324557552</v>
      </c>
      <c r="N28"/>
      <c r="O28"/>
      <c r="P28"/>
      <c r="Q28"/>
    </row>
    <row r="29" spans="1:17" s="53" customFormat="1" x14ac:dyDescent="0.25">
      <c r="A29" s="129"/>
      <c r="B29" s="69">
        <f>SUMPRODUCT(G15:G24-$G$25,G15:G24-$G$25,I15:I24)</f>
        <v>32.004439324557822</v>
      </c>
      <c r="C29" s="135">
        <f>_xlfn.CHISQ.DIST.RT(B29,COUNT(C15:C24)-1)</f>
        <v>1.9877703464191282E-4</v>
      </c>
      <c r="D29" s="135"/>
      <c r="E29" s="135"/>
      <c r="F29" s="3"/>
      <c r="G29" s="5"/>
      <c r="J29" s="55" t="s">
        <v>28</v>
      </c>
      <c r="K29" s="53">
        <f>COUNT(C15:C24)-1</f>
        <v>9</v>
      </c>
      <c r="N29"/>
      <c r="O29"/>
      <c r="P29"/>
      <c r="Q29"/>
    </row>
    <row r="30" spans="1:17" s="53" customFormat="1" x14ac:dyDescent="0.25">
      <c r="A30" s="129"/>
      <c r="B30" s="10"/>
      <c r="C30" s="70"/>
      <c r="D30" s="70"/>
      <c r="E30" s="70"/>
      <c r="F30" s="3"/>
      <c r="G30" s="5"/>
      <c r="J30" s="55" t="s">
        <v>29</v>
      </c>
      <c r="K30" s="53">
        <f>MAX(K28-K29,0)</f>
        <v>23.004439324557552</v>
      </c>
      <c r="N30"/>
      <c r="O30"/>
      <c r="P30"/>
      <c r="Q30"/>
    </row>
    <row r="31" spans="1:17" s="53" customFormat="1" x14ac:dyDescent="0.25">
      <c r="A31" s="14"/>
      <c r="B31" s="15"/>
      <c r="C31" s="16"/>
      <c r="D31" s="16"/>
      <c r="E31" s="16"/>
      <c r="F31" s="3"/>
      <c r="G31" s="5"/>
      <c r="J31" s="55" t="s">
        <v>30</v>
      </c>
      <c r="K31" s="53">
        <f>SUM(I15:I24)-SUM(K15:K24)/SUM(I15:I24)</f>
        <v>55329.326457660121</v>
      </c>
      <c r="N31"/>
      <c r="O31"/>
      <c r="P31"/>
      <c r="Q31"/>
    </row>
    <row r="32" spans="1:17" s="53" customFormat="1" x14ac:dyDescent="0.25">
      <c r="A32" s="1"/>
      <c r="B32" s="2"/>
      <c r="C32" s="8"/>
      <c r="D32" s="8"/>
      <c r="E32" s="8"/>
      <c r="F32" s="3"/>
      <c r="G32" s="5"/>
      <c r="J32" s="55" t="s">
        <v>31</v>
      </c>
      <c r="K32" s="53">
        <f>K30/K31</f>
        <v>4.1577298690164484E-4</v>
      </c>
      <c r="N32"/>
      <c r="O32"/>
      <c r="P32"/>
      <c r="Q32"/>
    </row>
    <row r="33" spans="1:17" s="53" customFormat="1" x14ac:dyDescent="0.25">
      <c r="A33" s="18" t="s">
        <v>37</v>
      </c>
      <c r="B33" s="19">
        <f>(B29-COUNT(C15:C24)+1)/B29</f>
        <v>0.71878901208889256</v>
      </c>
      <c r="C33" s="17"/>
      <c r="D33" s="17"/>
      <c r="E33" s="17"/>
      <c r="F33" s="3"/>
      <c r="G33" s="5"/>
      <c r="N33"/>
      <c r="O33"/>
      <c r="P33"/>
      <c r="Q33"/>
    </row>
  </sheetData>
  <mergeCells count="8">
    <mergeCell ref="A28:A30"/>
    <mergeCell ref="C28:E28"/>
    <mergeCell ref="C29:E29"/>
    <mergeCell ref="A1:M1"/>
    <mergeCell ref="A2:M2"/>
    <mergeCell ref="A3:M3"/>
    <mergeCell ref="C13:E13"/>
    <mergeCell ref="G13:M13"/>
  </mergeCells>
  <pageMargins left="0.7" right="0.7" top="0.75" bottom="0.75" header="0.3" footer="0.3"/>
  <pageSetup scale="55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0687-1A9B-4785-BA97-722B0FDEA21E}">
  <sheetPr>
    <pageSetUpPr fitToPage="1"/>
  </sheetPr>
  <dimension ref="A1:S35"/>
  <sheetViews>
    <sheetView zoomScaleNormal="100" workbookViewId="0">
      <selection sqref="A1:O1"/>
    </sheetView>
  </sheetViews>
  <sheetFormatPr defaultRowHeight="13.2" x14ac:dyDescent="0.25"/>
  <cols>
    <col min="1" max="1" width="42.5546875" style="1" customWidth="1"/>
    <col min="2" max="2" width="9.5546875" style="1" bestFit="1" customWidth="1"/>
    <col min="3" max="3" width="10.6640625" style="1" customWidth="1"/>
    <col min="4" max="4" width="14.33203125" style="2" customWidth="1"/>
    <col min="5" max="6" width="8.6640625" style="8" customWidth="1"/>
    <col min="7" max="7" width="8.5546875" style="5" customWidth="1"/>
    <col min="8" max="8" width="10.6640625" style="57" customWidth="1"/>
    <col min="9" max="11" width="21.6640625" style="53" customWidth="1"/>
    <col min="12" max="12" width="11.88671875" style="53" customWidth="1"/>
    <col min="13" max="13" width="14.6640625" style="53" bestFit="1" customWidth="1"/>
    <col min="14" max="14" width="8.6640625" style="12" customWidth="1"/>
    <col min="15" max="15" width="16.109375" style="12" customWidth="1"/>
    <col min="16" max="16" width="10.6640625" customWidth="1"/>
    <col min="17" max="17" width="10.5546875" customWidth="1"/>
    <col min="18" max="20" width="8.6640625" customWidth="1"/>
  </cols>
  <sheetData>
    <row r="1" spans="1:19" ht="17.399999999999999" x14ac:dyDescent="0.3">
      <c r="A1" s="130" t="s">
        <v>182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9" ht="15.6" x14ac:dyDescent="0.3">
      <c r="A2" s="131" t="s">
        <v>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9" ht="15.6" x14ac:dyDescent="0.3">
      <c r="A3" s="145" t="s">
        <v>97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9" ht="14.4" x14ac:dyDescent="0.3">
      <c r="A4" s="144" t="s">
        <v>106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9" ht="15.6" x14ac:dyDescent="0.3">
      <c r="A5" s="45"/>
      <c r="B5" s="45"/>
      <c r="C5" s="45"/>
      <c r="D5" s="45"/>
      <c r="E5" s="45"/>
      <c r="F5" s="45"/>
      <c r="G5" s="66"/>
      <c r="H5" s="47"/>
      <c r="I5" s="47"/>
      <c r="J5" s="47"/>
      <c r="K5" s="47"/>
      <c r="L5" s="47"/>
      <c r="M5" s="47"/>
      <c r="N5" s="45"/>
      <c r="O5" s="45"/>
    </row>
    <row r="6" spans="1:19" ht="15.6" x14ac:dyDescent="0.3">
      <c r="A6" s="20" t="s">
        <v>42</v>
      </c>
      <c r="B6" s="20"/>
      <c r="C6" s="20"/>
      <c r="D6" s="45"/>
      <c r="E6" s="45"/>
      <c r="F6" s="45"/>
      <c r="G6" s="66"/>
      <c r="H6" s="47"/>
      <c r="I6" s="47"/>
      <c r="J6" s="47"/>
      <c r="K6" s="47"/>
      <c r="L6" s="47"/>
      <c r="M6" s="47"/>
      <c r="N6" s="45"/>
      <c r="O6" s="45"/>
    </row>
    <row r="7" spans="1:19" ht="13.8" x14ac:dyDescent="0.3">
      <c r="A7" s="29" t="s">
        <v>189</v>
      </c>
      <c r="B7" s="29"/>
      <c r="C7" s="29"/>
      <c r="D7" s="22"/>
      <c r="E7" s="16"/>
      <c r="F7" s="16"/>
      <c r="G7" s="31"/>
      <c r="H7" s="58"/>
      <c r="I7" s="48"/>
      <c r="J7" s="48"/>
      <c r="K7" s="48"/>
      <c r="L7" s="48"/>
      <c r="M7" s="48"/>
      <c r="N7" s="32"/>
      <c r="O7" s="32"/>
    </row>
    <row r="8" spans="1:19" ht="13.8" x14ac:dyDescent="0.3">
      <c r="A8" s="29" t="s">
        <v>44</v>
      </c>
      <c r="B8" s="29"/>
      <c r="C8" s="29"/>
      <c r="D8" s="22"/>
      <c r="E8" s="16"/>
      <c r="F8" s="16"/>
      <c r="G8" s="31"/>
      <c r="H8" s="58"/>
      <c r="I8" s="48"/>
      <c r="J8" s="48"/>
      <c r="K8" s="48"/>
      <c r="L8" s="48"/>
      <c r="M8" s="48"/>
      <c r="N8" s="32"/>
      <c r="O8" s="32"/>
    </row>
    <row r="9" spans="1:19" ht="13.8" x14ac:dyDescent="0.3">
      <c r="A9" s="30" t="s">
        <v>45</v>
      </c>
      <c r="B9" s="30"/>
      <c r="C9" s="30"/>
      <c r="D9" s="22"/>
      <c r="E9" s="16"/>
      <c r="F9" s="16"/>
      <c r="G9" s="31"/>
      <c r="H9" s="58"/>
      <c r="I9" s="48"/>
      <c r="J9" s="48"/>
      <c r="K9" s="48"/>
      <c r="L9" s="48"/>
      <c r="M9" s="48"/>
      <c r="N9" s="32"/>
      <c r="O9" s="32"/>
    </row>
    <row r="10" spans="1:19" ht="13.8" x14ac:dyDescent="0.3">
      <c r="A10" s="30" t="s">
        <v>46</v>
      </c>
      <c r="B10" s="30"/>
      <c r="C10" s="30"/>
      <c r="D10" s="22"/>
      <c r="E10" s="16"/>
      <c r="F10" s="16"/>
      <c r="G10" s="31"/>
      <c r="H10" s="58"/>
      <c r="I10" s="48"/>
      <c r="J10" s="48"/>
      <c r="K10" s="48"/>
      <c r="L10" s="48"/>
      <c r="M10" s="48"/>
      <c r="N10" s="32"/>
      <c r="O10" s="32"/>
    </row>
    <row r="11" spans="1:19" ht="13.8" x14ac:dyDescent="0.3">
      <c r="A11" s="30" t="s">
        <v>47</v>
      </c>
      <c r="B11" s="30"/>
      <c r="C11" s="30"/>
      <c r="D11" s="22"/>
      <c r="E11" s="16"/>
      <c r="F11" s="16"/>
      <c r="G11" s="31"/>
      <c r="H11" s="58"/>
      <c r="I11" s="48"/>
      <c r="J11" s="48"/>
      <c r="K11" s="48"/>
      <c r="L11" s="48"/>
      <c r="M11" s="48"/>
      <c r="N11" s="32"/>
      <c r="O11" s="32"/>
    </row>
    <row r="12" spans="1:19" ht="13.8" x14ac:dyDescent="0.3">
      <c r="A12" s="30" t="s">
        <v>48</v>
      </c>
      <c r="B12" s="30"/>
      <c r="C12" s="30"/>
      <c r="D12" s="22"/>
      <c r="E12" s="16"/>
      <c r="F12" s="16"/>
      <c r="G12" s="31"/>
      <c r="H12" s="58"/>
      <c r="I12" s="48"/>
      <c r="J12" s="48"/>
      <c r="K12" s="48"/>
      <c r="L12" s="48"/>
      <c r="M12" s="48"/>
      <c r="N12" s="32"/>
      <c r="O12" s="32"/>
    </row>
    <row r="13" spans="1:19" x14ac:dyDescent="0.25">
      <c r="A13" s="21"/>
      <c r="B13" s="21"/>
      <c r="C13" s="21"/>
      <c r="D13" s="22"/>
      <c r="E13" s="16"/>
      <c r="F13" s="16"/>
      <c r="G13" s="31"/>
      <c r="H13" s="58"/>
      <c r="I13" s="48"/>
      <c r="J13" s="48"/>
      <c r="K13" s="48"/>
      <c r="L13" s="48"/>
      <c r="M13" s="48"/>
      <c r="N13" s="32"/>
      <c r="O13" s="32"/>
    </row>
    <row r="14" spans="1:19" ht="22.2" customHeight="1" thickBot="1" x14ac:dyDescent="0.3">
      <c r="A14" s="21"/>
      <c r="B14" s="21"/>
      <c r="C14" s="21"/>
      <c r="D14" s="22"/>
      <c r="E14" s="132" t="s">
        <v>21</v>
      </c>
      <c r="F14" s="132"/>
      <c r="G14" s="132"/>
      <c r="H14" s="58"/>
      <c r="I14" s="132" t="s">
        <v>34</v>
      </c>
      <c r="J14" s="132"/>
      <c r="K14" s="132"/>
      <c r="L14" s="132"/>
      <c r="M14" s="132"/>
      <c r="N14" s="132"/>
      <c r="O14" s="132"/>
    </row>
    <row r="15" spans="1:19" ht="46.8" customHeight="1" thickBot="1" x14ac:dyDescent="0.3">
      <c r="A15" s="33" t="s">
        <v>64</v>
      </c>
      <c r="B15" s="34" t="s">
        <v>83</v>
      </c>
      <c r="C15" s="34" t="s">
        <v>82</v>
      </c>
      <c r="D15" s="22"/>
      <c r="E15" s="35" t="s">
        <v>0</v>
      </c>
      <c r="F15" s="35" t="s">
        <v>1</v>
      </c>
      <c r="G15" s="63" t="s">
        <v>2</v>
      </c>
      <c r="H15" s="59"/>
      <c r="I15" s="49" t="s">
        <v>19</v>
      </c>
      <c r="J15" s="49" t="s">
        <v>18</v>
      </c>
      <c r="K15" s="49" t="s">
        <v>35</v>
      </c>
      <c r="L15" s="49" t="s">
        <v>23</v>
      </c>
      <c r="M15" s="49" t="s">
        <v>24</v>
      </c>
      <c r="N15" s="13" t="s">
        <v>25</v>
      </c>
      <c r="O15" s="13" t="s">
        <v>33</v>
      </c>
      <c r="Q15" s="6"/>
      <c r="R15" s="6"/>
      <c r="S15" s="6"/>
    </row>
    <row r="16" spans="1:19" ht="13.8" thickTop="1" x14ac:dyDescent="0.25">
      <c r="A16" s="37" t="s">
        <v>51</v>
      </c>
      <c r="B16" s="46" t="s">
        <v>66</v>
      </c>
      <c r="C16" s="46" t="s">
        <v>67</v>
      </c>
      <c r="D16" s="22"/>
      <c r="E16" s="31">
        <v>0.89</v>
      </c>
      <c r="F16" s="31">
        <v>0.85</v>
      </c>
      <c r="G16" s="31">
        <v>0.95</v>
      </c>
      <c r="H16" s="58"/>
      <c r="I16" s="48">
        <f>LN(E16)</f>
        <v>-0.11653381625595151</v>
      </c>
      <c r="J16" s="48">
        <f>(LN(G16)-LN(F16))/3.92</f>
        <v>2.8373886507710295E-2</v>
      </c>
      <c r="K16" s="48">
        <f>1/J16^2</f>
        <v>1242.1165416390345</v>
      </c>
      <c r="L16" s="48">
        <f t="shared" ref="L16:L26" si="0">(I16^2)*K16</f>
        <v>16.868104521967524</v>
      </c>
      <c r="M16" s="48">
        <f t="shared" ref="M16:M26" si="1">K16^2</f>
        <v>1542853.5030133154</v>
      </c>
      <c r="N16" s="32">
        <f t="shared" ref="N16:N26" si="2">J16^2 + $M$34</f>
        <v>3.002906853664512E-3</v>
      </c>
      <c r="O16" s="32">
        <f>1/N16</f>
        <v>333.01066224537681</v>
      </c>
    </row>
    <row r="17" spans="1:19" x14ac:dyDescent="0.25">
      <c r="A17" s="71" t="s">
        <v>101</v>
      </c>
      <c r="B17" s="76" t="s">
        <v>68</v>
      </c>
      <c r="C17" s="76" t="s">
        <v>69</v>
      </c>
      <c r="E17" s="5">
        <v>1.0680000000000001</v>
      </c>
      <c r="F17" s="5">
        <v>1.0489999999999999</v>
      </c>
      <c r="G17" s="5">
        <v>1.087</v>
      </c>
      <c r="H17" s="58"/>
      <c r="I17" s="48">
        <f t="shared" ref="I17" si="3">LN(E17)</f>
        <v>6.5787740538003153E-2</v>
      </c>
      <c r="J17" s="48">
        <f t="shared" ref="J17" si="4">(LN(G17)-LN(F17))/3.92</f>
        <v>9.0776221237021185E-3</v>
      </c>
      <c r="K17" s="48">
        <f t="shared" ref="K17" si="5">1/J17^2</f>
        <v>12135.447601294669</v>
      </c>
      <c r="L17" s="48">
        <f t="shared" si="0"/>
        <v>52.522542510236711</v>
      </c>
      <c r="M17" s="48">
        <f t="shared" si="1"/>
        <v>147269088.48376852</v>
      </c>
      <c r="N17" s="32">
        <f t="shared" si="2"/>
        <v>2.2802326415328139E-3</v>
      </c>
      <c r="O17" s="32">
        <f t="shared" ref="O17" si="6">1/N17</f>
        <v>438.55174326764387</v>
      </c>
    </row>
    <row r="18" spans="1:19" x14ac:dyDescent="0.25">
      <c r="A18" s="71" t="s">
        <v>102</v>
      </c>
      <c r="B18" s="76" t="s">
        <v>68</v>
      </c>
      <c r="C18" s="76" t="s">
        <v>69</v>
      </c>
      <c r="E18" s="5">
        <v>1.1319999999999999</v>
      </c>
      <c r="F18" s="5">
        <v>1.095</v>
      </c>
      <c r="G18" s="5">
        <v>1.169</v>
      </c>
      <c r="H18" s="58"/>
      <c r="I18" s="48">
        <f t="shared" ref="I18" si="7">LN(E18)</f>
        <v>0.1239859797809911</v>
      </c>
      <c r="J18" s="48">
        <f t="shared" ref="J18" si="8">(LN(G18)-LN(F18))/3.92</f>
        <v>1.668222429119063E-2</v>
      </c>
      <c r="K18" s="48">
        <f t="shared" ref="K18" si="9">1/J18^2</f>
        <v>3593.2885050096838</v>
      </c>
      <c r="L18" s="48">
        <f t="shared" ref="L18" si="10">(I18^2)*K18</f>
        <v>55.237910843782196</v>
      </c>
      <c r="M18" s="48">
        <f t="shared" ref="M18" si="11">K18^2</f>
        <v>12911722.280234728</v>
      </c>
      <c r="N18" s="32">
        <f t="shared" si="2"/>
        <v>2.4761260254136785E-3</v>
      </c>
      <c r="O18" s="32">
        <f t="shared" ref="O18" si="12">1/N18</f>
        <v>403.8566655075374</v>
      </c>
    </row>
    <row r="19" spans="1:19" x14ac:dyDescent="0.25">
      <c r="A19" s="71" t="s">
        <v>103</v>
      </c>
      <c r="B19" s="76" t="s">
        <v>68</v>
      </c>
      <c r="C19" s="76" t="s">
        <v>69</v>
      </c>
      <c r="E19" s="5">
        <v>0.98899999999999999</v>
      </c>
      <c r="F19" s="5">
        <v>0.97</v>
      </c>
      <c r="G19" s="5">
        <v>1.008</v>
      </c>
      <c r="H19" s="58"/>
      <c r="I19" s="48">
        <f t="shared" ref="I19:I26" si="13">LN(E19)</f>
        <v>-1.1060947359424948E-2</v>
      </c>
      <c r="J19" s="48">
        <f t="shared" ref="J19:J26" si="14">(LN(G19)-LN(F19))/3.92</f>
        <v>9.8029023300728203E-3</v>
      </c>
      <c r="K19" s="48">
        <f t="shared" ref="K19:K26" si="15">1/J19^2</f>
        <v>10406.16358560743</v>
      </c>
      <c r="L19" s="48">
        <f t="shared" si="0"/>
        <v>1.2731374686224017</v>
      </c>
      <c r="M19" s="48">
        <f t="shared" si="1"/>
        <v>108288240.57042208</v>
      </c>
      <c r="N19" s="32">
        <f t="shared" si="2"/>
        <v>2.2939263122050348E-3</v>
      </c>
      <c r="O19" s="32">
        <f t="shared" ref="O19:O26" si="16">1/N19</f>
        <v>435.93379380994622</v>
      </c>
    </row>
    <row r="20" spans="1:19" x14ac:dyDescent="0.25">
      <c r="A20" s="21" t="s">
        <v>65</v>
      </c>
      <c r="B20" s="46" t="s">
        <v>70</v>
      </c>
      <c r="C20" s="46" t="s">
        <v>90</v>
      </c>
      <c r="D20" s="22"/>
      <c r="E20" s="31">
        <v>1.028</v>
      </c>
      <c r="F20" s="31">
        <v>1.014</v>
      </c>
      <c r="G20" s="31">
        <v>1.0429999999999999</v>
      </c>
      <c r="H20" s="58"/>
      <c r="I20" s="48">
        <f t="shared" si="13"/>
        <v>2.7615167032973391E-2</v>
      </c>
      <c r="J20" s="48">
        <f t="shared" si="14"/>
        <v>7.1934364412356878E-3</v>
      </c>
      <c r="K20" s="48">
        <f t="shared" si="15"/>
        <v>19325.341567799278</v>
      </c>
      <c r="L20" s="48">
        <f t="shared" si="0"/>
        <v>14.737456204988389</v>
      </c>
      <c r="M20" s="48">
        <f t="shared" si="1"/>
        <v>373468826.71211064</v>
      </c>
      <c r="N20" s="32">
        <f t="shared" si="2"/>
        <v>2.2495749459461849E-3</v>
      </c>
      <c r="O20" s="32">
        <f t="shared" si="16"/>
        <v>444.52842160339492</v>
      </c>
    </row>
    <row r="21" spans="1:19" x14ac:dyDescent="0.25">
      <c r="A21" s="37" t="s">
        <v>12</v>
      </c>
      <c r="B21" s="46" t="s">
        <v>71</v>
      </c>
      <c r="C21" s="46" t="s">
        <v>72</v>
      </c>
      <c r="D21" s="22"/>
      <c r="E21" s="31">
        <v>1.26</v>
      </c>
      <c r="F21" s="31">
        <v>1.02</v>
      </c>
      <c r="G21" s="31">
        <v>1.54</v>
      </c>
      <c r="H21" s="58"/>
      <c r="I21" s="48">
        <f t="shared" si="13"/>
        <v>0.23111172096338664</v>
      </c>
      <c r="J21" s="48">
        <f t="shared" si="14"/>
        <v>0.10509688498197911</v>
      </c>
      <c r="K21" s="48">
        <f t="shared" si="15"/>
        <v>90.535793454608225</v>
      </c>
      <c r="L21" s="48">
        <f t="shared" si="0"/>
        <v>4.8357546172428885</v>
      </c>
      <c r="M21" s="48">
        <f t="shared" si="1"/>
        <v>8196.7298964554811</v>
      </c>
      <c r="N21" s="32">
        <f t="shared" si="2"/>
        <v>1.3243184651027435E-2</v>
      </c>
      <c r="O21" s="32">
        <f t="shared" si="16"/>
        <v>75.510538163674838</v>
      </c>
    </row>
    <row r="22" spans="1:19" x14ac:dyDescent="0.25">
      <c r="A22" s="37" t="s">
        <v>53</v>
      </c>
      <c r="B22" s="46" t="s">
        <v>73</v>
      </c>
      <c r="C22" s="46" t="s">
        <v>74</v>
      </c>
      <c r="D22" s="22"/>
      <c r="E22" s="31">
        <v>0.86</v>
      </c>
      <c r="F22" s="31">
        <v>0.72</v>
      </c>
      <c r="G22" s="31">
        <v>1.02</v>
      </c>
      <c r="H22" s="58"/>
      <c r="I22" s="48">
        <f t="shared" si="13"/>
        <v>-0.15082288973458366</v>
      </c>
      <c r="J22" s="48">
        <f t="shared" si="14"/>
        <v>8.8853748537810154E-2</v>
      </c>
      <c r="K22" s="48">
        <f t="shared" si="15"/>
        <v>126.66262701112289</v>
      </c>
      <c r="L22" s="48">
        <f t="shared" si="0"/>
        <v>2.8812636896902806</v>
      </c>
      <c r="M22" s="48">
        <f t="shared" si="1"/>
        <v>16043.421081358838</v>
      </c>
      <c r="N22" s="32">
        <f t="shared" si="2"/>
        <v>1.0092818047332489E-2</v>
      </c>
      <c r="O22" s="32">
        <f t="shared" si="16"/>
        <v>99.080355487464473</v>
      </c>
    </row>
    <row r="23" spans="1:19" x14ac:dyDescent="0.25">
      <c r="A23" s="37" t="s">
        <v>54</v>
      </c>
      <c r="B23" s="46" t="s">
        <v>75</v>
      </c>
      <c r="C23" s="46" t="s">
        <v>105</v>
      </c>
      <c r="D23" s="22"/>
      <c r="E23" s="31">
        <v>1.1399999999999999</v>
      </c>
      <c r="F23" s="31">
        <v>1.07</v>
      </c>
      <c r="G23" s="31">
        <v>1.22</v>
      </c>
      <c r="H23" s="58"/>
      <c r="I23" s="48">
        <f t="shared" si="13"/>
        <v>0.131028262406404</v>
      </c>
      <c r="J23" s="48">
        <f t="shared" si="14"/>
        <v>3.3467400579426099E-2</v>
      </c>
      <c r="K23" s="48">
        <f t="shared" si="15"/>
        <v>892.80381254165798</v>
      </c>
      <c r="L23" s="48">
        <f t="shared" si="0"/>
        <v>15.328017929624135</v>
      </c>
      <c r="M23" s="48">
        <f t="shared" si="1"/>
        <v>797098.64768891991</v>
      </c>
      <c r="N23" s="32">
        <f t="shared" si="2"/>
        <v>3.3178963196558581E-3</v>
      </c>
      <c r="O23" s="32">
        <f t="shared" si="16"/>
        <v>301.39579530433394</v>
      </c>
    </row>
    <row r="24" spans="1:19" x14ac:dyDescent="0.25">
      <c r="A24" s="37" t="s">
        <v>4</v>
      </c>
      <c r="B24" s="46" t="s">
        <v>77</v>
      </c>
      <c r="C24" s="46" t="s">
        <v>78</v>
      </c>
      <c r="D24" s="22"/>
      <c r="E24" s="31">
        <v>0.95</v>
      </c>
      <c r="F24" s="31">
        <v>0.76</v>
      </c>
      <c r="G24" s="31">
        <v>1.2</v>
      </c>
      <c r="H24" s="58"/>
      <c r="I24" s="48">
        <f t="shared" si="13"/>
        <v>-5.1293294387550578E-2</v>
      </c>
      <c r="J24" s="48">
        <f t="shared" si="14"/>
        <v>0.11652000063666196</v>
      </c>
      <c r="K24" s="48">
        <f t="shared" si="15"/>
        <v>73.654458901935243</v>
      </c>
      <c r="L24" s="48">
        <f t="shared" si="0"/>
        <v>0.19378503229840036</v>
      </c>
      <c r="M24" s="48">
        <f t="shared" si="1"/>
        <v>5424.979316136868</v>
      </c>
      <c r="N24" s="32">
        <f t="shared" si="2"/>
        <v>1.5774739966479791E-2</v>
      </c>
      <c r="O24" s="32">
        <f t="shared" si="16"/>
        <v>63.392487110718108</v>
      </c>
    </row>
    <row r="25" spans="1:19" x14ac:dyDescent="0.25">
      <c r="A25" s="37" t="s">
        <v>55</v>
      </c>
      <c r="B25" s="46" t="s">
        <v>79</v>
      </c>
      <c r="C25" s="46" t="s">
        <v>76</v>
      </c>
      <c r="D25" s="22"/>
      <c r="E25" s="31">
        <v>1.0249999999999999</v>
      </c>
      <c r="F25" s="31">
        <v>1</v>
      </c>
      <c r="G25" s="31">
        <v>1.0489999999999999</v>
      </c>
      <c r="H25" s="58"/>
      <c r="I25" s="48">
        <f t="shared" si="13"/>
        <v>2.4692612590371414E-2</v>
      </c>
      <c r="J25" s="48">
        <f t="shared" si="14"/>
        <v>1.2203400360755116E-2</v>
      </c>
      <c r="K25" s="48">
        <f t="shared" si="15"/>
        <v>6714.8803868273872</v>
      </c>
      <c r="L25" s="48">
        <f t="shared" si="0"/>
        <v>4.0942312263981933</v>
      </c>
      <c r="M25" s="48">
        <f t="shared" si="1"/>
        <v>45089618.609399118</v>
      </c>
      <c r="N25" s="32">
        <f t="shared" si="2"/>
        <v>2.3467523984769655E-3</v>
      </c>
      <c r="O25" s="32">
        <f t="shared" si="16"/>
        <v>426.12079597702626</v>
      </c>
    </row>
    <row r="26" spans="1:19" ht="13.8" thickBot="1" x14ac:dyDescent="0.3">
      <c r="A26" s="37" t="s">
        <v>7</v>
      </c>
      <c r="B26" s="46" t="s">
        <v>80</v>
      </c>
      <c r="C26" s="46" t="s">
        <v>81</v>
      </c>
      <c r="D26" s="22"/>
      <c r="E26" s="31">
        <v>1.016</v>
      </c>
      <c r="F26" s="31">
        <v>0.97899999999999998</v>
      </c>
      <c r="G26" s="31">
        <v>1.054</v>
      </c>
      <c r="H26" s="58"/>
      <c r="I26" s="48">
        <f t="shared" si="13"/>
        <v>1.5873349156290163E-2</v>
      </c>
      <c r="J26" s="48">
        <f t="shared" si="14"/>
        <v>1.8830634329285029E-2</v>
      </c>
      <c r="K26" s="48">
        <f t="shared" si="15"/>
        <v>2820.1363094104204</v>
      </c>
      <c r="L26" s="48">
        <f t="shared" si="0"/>
        <v>0.71057060685081452</v>
      </c>
      <c r="M26" s="48">
        <f t="shared" si="1"/>
        <v>7953168.8036550265</v>
      </c>
      <c r="N26" s="32">
        <f t="shared" si="2"/>
        <v>2.5524222073553355E-3</v>
      </c>
      <c r="O26" s="32">
        <f t="shared" si="16"/>
        <v>391.78471223071637</v>
      </c>
    </row>
    <row r="27" spans="1:19" s="7" customFormat="1" ht="13.8" thickBot="1" x14ac:dyDescent="0.3">
      <c r="A27" s="39" t="s">
        <v>20</v>
      </c>
      <c r="B27" s="40"/>
      <c r="C27" s="40"/>
      <c r="D27" s="41"/>
      <c r="E27" s="42">
        <f>EXP(I27)</f>
        <v>1.0326223026713017</v>
      </c>
      <c r="F27" s="42">
        <f>EXP(I27+J27*-1.96)</f>
        <v>1.0242105371454615</v>
      </c>
      <c r="G27" s="42">
        <f>EXP(I27+J27*1.96)</f>
        <v>1.0411031534063793</v>
      </c>
      <c r="H27" s="60"/>
      <c r="I27" s="50">
        <f>SUMPRODUCT(I16:I26,K16:K26)/SUM(K16:K26)</f>
        <v>3.2101491788467364E-2</v>
      </c>
      <c r="J27" s="50">
        <f>1/SQRT(SUM(K16:K26))</f>
        <v>4.1731549098832071E-3</v>
      </c>
      <c r="K27" s="51"/>
      <c r="L27" s="52"/>
      <c r="M27" s="52"/>
      <c r="N27" s="44"/>
      <c r="O27" s="44"/>
    </row>
    <row r="28" spans="1:19" s="7" customFormat="1" ht="13.8" thickBot="1" x14ac:dyDescent="0.3">
      <c r="A28" s="39" t="s">
        <v>32</v>
      </c>
      <c r="B28" s="40"/>
      <c r="C28" s="40"/>
      <c r="D28" s="41"/>
      <c r="E28" s="42">
        <f>EXP(I28)</f>
        <v>1.0306551125294217</v>
      </c>
      <c r="F28" s="42">
        <f>EXP(I28-1.96*J28)</f>
        <v>0.99665142153667974</v>
      </c>
      <c r="G28" s="42">
        <f>EXP(I28+1.96*J28)</f>
        <v>1.0658189393290711</v>
      </c>
      <c r="H28" s="60"/>
      <c r="I28" s="50">
        <f>SUMPRODUCT(I16:I26,O16:O26)/SUM(O16:O26)</f>
        <v>3.0194631641145615E-2</v>
      </c>
      <c r="J28" s="50">
        <f>1/SQRT(SUM(O16:O26))</f>
        <v>1.7116749561576931E-2</v>
      </c>
      <c r="K28" s="51"/>
      <c r="L28" s="52"/>
      <c r="M28" s="52"/>
      <c r="N28" s="44"/>
      <c r="O28" s="44"/>
    </row>
    <row r="29" spans="1:19" x14ac:dyDescent="0.25">
      <c r="A29" s="37"/>
      <c r="B29" s="37"/>
      <c r="C29" s="37"/>
      <c r="D29" s="22"/>
      <c r="E29" s="31"/>
      <c r="F29" s="31"/>
      <c r="G29" s="31"/>
      <c r="H29" s="58"/>
      <c r="I29" s="48"/>
      <c r="J29" s="48"/>
      <c r="K29" s="48"/>
      <c r="L29" s="54"/>
      <c r="M29" s="49" t="s">
        <v>27</v>
      </c>
      <c r="N29" s="32"/>
      <c r="O29" s="32"/>
    </row>
    <row r="30" spans="1:19" s="12" customFormat="1" ht="25.2" customHeight="1" x14ac:dyDescent="0.25">
      <c r="A30" s="128" t="s">
        <v>39</v>
      </c>
      <c r="B30" s="26"/>
      <c r="C30" s="26"/>
      <c r="D30" s="9" t="s">
        <v>22</v>
      </c>
      <c r="E30" s="134" t="s">
        <v>38</v>
      </c>
      <c r="F30" s="134"/>
      <c r="G30" s="134"/>
      <c r="H30" s="57"/>
      <c r="I30" s="53"/>
      <c r="J30" s="53"/>
      <c r="K30" s="53"/>
      <c r="L30" s="55" t="s">
        <v>26</v>
      </c>
      <c r="M30" s="53">
        <f>SUM(L16:L26)-SUMPRODUCT(I16:I26,K16:K26)^2/SUM(K16:K26)</f>
        <v>109.51007040188382</v>
      </c>
      <c r="P30"/>
      <c r="Q30"/>
      <c r="R30"/>
      <c r="S30"/>
    </row>
    <row r="31" spans="1:19" s="12" customFormat="1" x14ac:dyDescent="0.25">
      <c r="A31" s="129"/>
      <c r="B31" s="27"/>
      <c r="C31" s="27"/>
      <c r="D31" s="10">
        <f>SUMPRODUCT(I16:I26-$I$27,I16:I26-$I$27,K16:K26)</f>
        <v>109.51007040188382</v>
      </c>
      <c r="E31" s="143">
        <f>_xlfn.CHISQ.DIST.RT(D31,COUNT(E16:E26)-1)</f>
        <v>6.6984347611935254E-19</v>
      </c>
      <c r="F31" s="143"/>
      <c r="G31" s="143"/>
      <c r="H31" s="57"/>
      <c r="I31" s="53"/>
      <c r="J31" s="53"/>
      <c r="K31" s="53"/>
      <c r="L31" s="55" t="s">
        <v>28</v>
      </c>
      <c r="M31" s="53">
        <f>COUNT(E16:E26)-1</f>
        <v>10</v>
      </c>
      <c r="P31"/>
      <c r="Q31"/>
      <c r="R31"/>
      <c r="S31"/>
    </row>
    <row r="32" spans="1:19" s="12" customFormat="1" x14ac:dyDescent="0.25">
      <c r="A32" s="129"/>
      <c r="B32" s="27"/>
      <c r="C32" s="27"/>
      <c r="D32" s="10"/>
      <c r="E32" s="25"/>
      <c r="F32" s="25"/>
      <c r="G32" s="64"/>
      <c r="H32" s="57"/>
      <c r="I32" s="53"/>
      <c r="J32" s="53"/>
      <c r="K32" s="53"/>
      <c r="L32" s="55" t="s">
        <v>29</v>
      </c>
      <c r="M32" s="53">
        <f>MAX(M30-M31,0)</f>
        <v>99.510070401883823</v>
      </c>
      <c r="P32"/>
      <c r="Q32"/>
      <c r="R32"/>
      <c r="S32"/>
    </row>
    <row r="33" spans="1:19" s="12" customFormat="1" x14ac:dyDescent="0.25">
      <c r="A33" s="14"/>
      <c r="B33" s="14"/>
      <c r="C33" s="14"/>
      <c r="D33" s="15"/>
      <c r="E33" s="16"/>
      <c r="F33" s="16"/>
      <c r="G33" s="31"/>
      <c r="H33" s="57"/>
      <c r="I33" s="53"/>
      <c r="J33" s="53"/>
      <c r="K33" s="53"/>
      <c r="L33" s="55" t="s">
        <v>30</v>
      </c>
      <c r="M33" s="53">
        <f>SUM(K16:K26)-SUM(M16:M26)/SUM(K16:K26)</f>
        <v>45276.521272229547</v>
      </c>
      <c r="P33"/>
      <c r="Q33"/>
      <c r="R33"/>
      <c r="S33"/>
    </row>
    <row r="34" spans="1:19" s="12" customFormat="1" x14ac:dyDescent="0.25">
      <c r="A34" s="1"/>
      <c r="B34" s="1"/>
      <c r="C34" s="1"/>
      <c r="D34" s="2"/>
      <c r="E34" s="8"/>
      <c r="F34" s="8"/>
      <c r="G34" s="5"/>
      <c r="H34" s="57"/>
      <c r="I34" s="53"/>
      <c r="J34" s="53"/>
      <c r="K34" s="53"/>
      <c r="L34" s="55" t="s">
        <v>31</v>
      </c>
      <c r="M34" s="53">
        <f>M32/M33</f>
        <v>2.1978294181120876E-3</v>
      </c>
      <c r="P34"/>
      <c r="Q34"/>
      <c r="R34"/>
      <c r="S34"/>
    </row>
    <row r="35" spans="1:19" s="12" customFormat="1" x14ac:dyDescent="0.25">
      <c r="A35" s="18" t="s">
        <v>37</v>
      </c>
      <c r="B35" s="18"/>
      <c r="C35" s="18"/>
      <c r="D35" s="19">
        <f>(D31-COUNT(E16:E26)+1)/D31</f>
        <v>0.90868419714002868</v>
      </c>
      <c r="E35" s="17"/>
      <c r="F35" s="17"/>
      <c r="G35" s="65"/>
      <c r="H35" s="57"/>
      <c r="I35" s="53"/>
      <c r="J35" s="53"/>
      <c r="K35" s="53"/>
      <c r="L35" s="53"/>
      <c r="M35" s="53"/>
      <c r="P35"/>
      <c r="Q35"/>
      <c r="R35"/>
      <c r="S35"/>
    </row>
  </sheetData>
  <mergeCells count="9">
    <mergeCell ref="A30:A32"/>
    <mergeCell ref="E30:G30"/>
    <mergeCell ref="E31:G31"/>
    <mergeCell ref="A4:O4"/>
    <mergeCell ref="A1:O1"/>
    <mergeCell ref="A2:O2"/>
    <mergeCell ref="A3:O3"/>
    <mergeCell ref="E14:G14"/>
    <mergeCell ref="I14:O14"/>
  </mergeCells>
  <pageMargins left="0.5" right="0.25" top="1" bottom="0.25" header="0.5" footer="0.5"/>
  <pageSetup scale="5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Appendix A</vt:lpstr>
      <vt:lpstr>North America</vt:lpstr>
      <vt:lpstr>Europe</vt:lpstr>
      <vt:lpstr>Asia</vt:lpstr>
      <vt:lpstr>Global</vt:lpstr>
      <vt:lpstr>Appendix B</vt:lpstr>
      <vt:lpstr>Canada Subset</vt:lpstr>
      <vt:lpstr>North America - Without Canada</vt:lpstr>
      <vt:lpstr>9 US Cohorts</vt:lpstr>
      <vt:lpstr>8 US Cohorts</vt:lpstr>
      <vt:lpstr>8 US Cohorts LastFU</vt:lpstr>
      <vt:lpstr>8 US Cohorts LastFU Rean</vt:lpstr>
      <vt:lpstr>6 CA Cohorts</vt:lpstr>
      <vt:lpstr>US Cohort Info</vt:lpstr>
      <vt:lpstr>'6 CA Cohorts'!Print_Area</vt:lpstr>
      <vt:lpstr>'8 US Cohorts'!Print_Area</vt:lpstr>
      <vt:lpstr>'8 US Cohorts LastFU'!Print_Area</vt:lpstr>
      <vt:lpstr>'8 US Cohorts LastFU Rean'!Print_Area</vt:lpstr>
      <vt:lpstr>'9 US Cohorts'!Print_Area</vt:lpstr>
      <vt:lpstr>'Appendix A'!Print_Area</vt:lpstr>
      <vt:lpstr>'Appendix B'!Print_Area</vt:lpstr>
      <vt:lpstr>Asia!Print_Area</vt:lpstr>
      <vt:lpstr>'Canada Subset'!Print_Area</vt:lpstr>
      <vt:lpstr>Europe!Print_Area</vt:lpstr>
      <vt:lpstr>Global!Print_Area</vt:lpstr>
      <vt:lpstr>'North America'!Print_Area</vt:lpstr>
      <vt:lpstr>'North America - Without Canada'!Print_Area</vt:lpstr>
      <vt:lpstr>'US Cohort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2018-09-28T18:37:08Z</dcterms:created>
  <dcterms:modified xsi:type="dcterms:W3CDTF">2018-09-28T18:37:18Z</dcterms:modified>
</cp:coreProperties>
</file>